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CN2\Downloads\"/>
    </mc:Choice>
  </mc:AlternateContent>
  <xr:revisionPtr revIDLastSave="0" documentId="13_ncr:1_{4945FFE3-9956-4994-A7CF-7E631A7C28E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 Dũng" sheetId="1" r:id="rId1"/>
    <sheet name="Cơ cấu 3 tháng" sheetId="2" r:id="rId2"/>
    <sheet name="Cơ cấu 6 tháng " sheetId="4" r:id="rId3"/>
    <sheet name="Cơ cấu 9 tháng  " sheetId="5" r:id="rId4"/>
    <sheet name="30.4" sheetId="3" r:id="rId5"/>
    <sheet name="30.6" sheetId="6" r:id="rId6"/>
    <sheet name="30.9" sheetId="7" r:id="rId7"/>
    <sheet name="Sheet1" sheetId="8" r:id="rId8"/>
    <sheet name="Sheet2" sheetId="9" r:id="rId9"/>
    <sheet name="Sheet3" sheetId="10" r:id="rId10"/>
  </sheets>
  <externalReferences>
    <externalReference r:id="rId11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4" l="1"/>
  <c r="H9" i="4"/>
  <c r="I9" i="5"/>
  <c r="H9" i="5"/>
  <c r="G17" i="5"/>
  <c r="G16" i="5"/>
  <c r="H16" i="5"/>
  <c r="H15" i="5"/>
  <c r="H14" i="5"/>
  <c r="H13" i="5"/>
  <c r="H11" i="5"/>
  <c r="H8" i="5"/>
  <c r="H7" i="5"/>
  <c r="H13" i="4"/>
  <c r="I20" i="6"/>
  <c r="I22" i="6" s="1"/>
  <c r="I18" i="1"/>
  <c r="J6" i="1"/>
  <c r="I7" i="1"/>
  <c r="I8" i="1"/>
  <c r="I9" i="1"/>
  <c r="I6" i="1"/>
  <c r="G17" i="4"/>
  <c r="G16" i="4"/>
  <c r="H16" i="4"/>
  <c r="J18" i="1"/>
  <c r="H17" i="5" l="1"/>
  <c r="H11" i="4"/>
  <c r="H17" i="4" s="1"/>
  <c r="J8" i="1"/>
  <c r="J9" i="1"/>
  <c r="M8" i="1" l="1"/>
  <c r="O8" i="1" s="1"/>
  <c r="M9" i="1"/>
  <c r="O9" i="1" s="1"/>
  <c r="C23" i="1"/>
  <c r="F17" i="9"/>
  <c r="F19" i="9" s="1"/>
  <c r="F20" i="9" s="1"/>
  <c r="C14" i="9"/>
  <c r="C15" i="9" s="1"/>
  <c r="F12" i="9"/>
  <c r="F14" i="9" s="1"/>
  <c r="F15" i="9" s="1"/>
  <c r="F7" i="9"/>
  <c r="F9" i="9" s="1"/>
  <c r="F10" i="9" s="1"/>
  <c r="G22" i="7" l="1"/>
  <c r="D22" i="7"/>
  <c r="F22" i="7"/>
  <c r="C22" i="7"/>
  <c r="E22" i="6"/>
  <c r="F22" i="6"/>
  <c r="G22" i="6"/>
  <c r="E23" i="6"/>
  <c r="E24" i="6" s="1"/>
  <c r="E25" i="6" s="1"/>
  <c r="D22" i="6"/>
  <c r="D25" i="3"/>
  <c r="D26" i="3" s="1"/>
  <c r="F22" i="3"/>
  <c r="G5" i="7"/>
  <c r="G5" i="3"/>
  <c r="E5" i="3"/>
  <c r="F15" i="6"/>
  <c r="F16" i="6"/>
  <c r="F17" i="6"/>
  <c r="H15" i="6"/>
  <c r="H16" i="6"/>
  <c r="H17" i="6"/>
  <c r="D9" i="6" l="1"/>
  <c r="C17" i="3"/>
  <c r="G17" i="3" s="1"/>
  <c r="C16" i="3"/>
  <c r="C15" i="3"/>
  <c r="C9" i="3"/>
  <c r="F30" i="8"/>
  <c r="F32" i="8" s="1"/>
  <c r="F28" i="8"/>
  <c r="F27" i="8"/>
  <c r="F26" i="8"/>
  <c r="F25" i="8"/>
  <c r="F24" i="8"/>
  <c r="F22" i="8"/>
  <c r="F19" i="8"/>
  <c r="E16" i="3" l="1"/>
  <c r="G16" i="3"/>
  <c r="D2" i="8"/>
  <c r="B2" i="8"/>
  <c r="B4" i="8" s="1"/>
  <c r="F21" i="8"/>
  <c r="F23" i="8" s="1"/>
  <c r="F29" i="8" s="1"/>
  <c r="F33" i="8" s="1"/>
  <c r="F36" i="8" s="1"/>
  <c r="G15" i="3"/>
  <c r="E15" i="3"/>
  <c r="F9" i="6"/>
  <c r="H9" i="6"/>
  <c r="B8" i="8"/>
  <c r="G9" i="3"/>
  <c r="E9" i="3"/>
  <c r="B12" i="8" l="1"/>
  <c r="B14" i="8" s="1"/>
  <c r="B7" i="8"/>
  <c r="B5" i="8"/>
  <c r="C2" i="8"/>
  <c r="C4" i="8" s="1"/>
  <c r="D4" i="8"/>
  <c r="B9" i="8"/>
  <c r="D8" i="8"/>
  <c r="B10" i="8"/>
  <c r="D5" i="8" l="1"/>
  <c r="E5" i="8" s="1"/>
  <c r="C5" i="8"/>
  <c r="B6" i="8"/>
  <c r="E2" i="8"/>
  <c r="E4" i="8" s="1"/>
  <c r="E6" i="8" s="1"/>
  <c r="D6" i="8"/>
  <c r="D9" i="8"/>
  <c r="E9" i="8" s="1"/>
  <c r="H9" i="8" s="1"/>
  <c r="E13" i="6" s="1"/>
  <c r="D10" i="8"/>
  <c r="C10" i="8" s="1"/>
  <c r="C12" i="3" s="1"/>
  <c r="D13" i="3"/>
  <c r="K9" i="8"/>
  <c r="D13" i="7" s="1"/>
  <c r="C4" i="3"/>
  <c r="F2" i="8"/>
  <c r="F4" i="3" s="1"/>
  <c r="F6" i="3" s="1"/>
  <c r="E8" i="8"/>
  <c r="D10" i="3" s="1"/>
  <c r="K8" i="8"/>
  <c r="D10" i="7" s="1"/>
  <c r="D11" i="7" s="1"/>
  <c r="H8" i="8"/>
  <c r="E10" i="6" s="1"/>
  <c r="E11" i="6" s="1"/>
  <c r="B11" i="8"/>
  <c r="B15" i="8" s="1"/>
  <c r="B16" i="8" s="1"/>
  <c r="B17" i="8" s="1"/>
  <c r="J2" i="8"/>
  <c r="L2" i="8" s="1"/>
  <c r="G2" i="8"/>
  <c r="I2" i="8" s="1"/>
  <c r="D11" i="8" l="1"/>
  <c r="D15" i="8" s="1"/>
  <c r="D17" i="8" s="1"/>
  <c r="C7" i="3"/>
  <c r="C9" i="8"/>
  <c r="C13" i="3" s="1"/>
  <c r="E13" i="3" s="1"/>
  <c r="D4" i="3"/>
  <c r="D7" i="3"/>
  <c r="H5" i="8"/>
  <c r="C8" i="8"/>
  <c r="E10" i="8"/>
  <c r="D12" i="3" s="1"/>
  <c r="E12" i="3" s="1"/>
  <c r="F10" i="8"/>
  <c r="F12" i="3" s="1"/>
  <c r="G12" i="3" s="1"/>
  <c r="H2" i="8"/>
  <c r="D4" i="6"/>
  <c r="D6" i="6" s="1"/>
  <c r="G10" i="8"/>
  <c r="D12" i="6" s="1"/>
  <c r="C4" i="7"/>
  <c r="K2" i="8"/>
  <c r="J10" i="8"/>
  <c r="C12" i="7" s="1"/>
  <c r="G9" i="8"/>
  <c r="D13" i="6" s="1"/>
  <c r="F13" i="6" s="1"/>
  <c r="G4" i="8"/>
  <c r="G5" i="8" s="1"/>
  <c r="G8" i="8"/>
  <c r="F4" i="8"/>
  <c r="F5" i="8" s="1"/>
  <c r="F9" i="8"/>
  <c r="F13" i="3" s="1"/>
  <c r="G13" i="3" s="1"/>
  <c r="J4" i="8"/>
  <c r="J5" i="8" s="1"/>
  <c r="J9" i="8"/>
  <c r="C13" i="7" s="1"/>
  <c r="E13" i="7" s="1"/>
  <c r="J8" i="8"/>
  <c r="E7" i="3" l="1"/>
  <c r="C6" i="8"/>
  <c r="C11" i="8" s="1"/>
  <c r="C10" i="3"/>
  <c r="F8" i="8"/>
  <c r="F10" i="3" s="1"/>
  <c r="E7" i="6"/>
  <c r="K5" i="8"/>
  <c r="D7" i="7" s="1"/>
  <c r="E11" i="8"/>
  <c r="E15" i="8" s="1"/>
  <c r="E17" i="8" s="1"/>
  <c r="C10" i="7"/>
  <c r="L8" i="8"/>
  <c r="F10" i="7" s="1"/>
  <c r="J6" i="8"/>
  <c r="J11" i="8" s="1"/>
  <c r="C7" i="7"/>
  <c r="E7" i="7" s="1"/>
  <c r="F6" i="8"/>
  <c r="F11" i="8" s="1"/>
  <c r="F15" i="8" s="1"/>
  <c r="F7" i="3"/>
  <c r="G7" i="3" s="1"/>
  <c r="G6" i="8"/>
  <c r="G11" i="8" s="1"/>
  <c r="G15" i="8" s="1"/>
  <c r="D7" i="6"/>
  <c r="F7" i="6" s="1"/>
  <c r="D4" i="7"/>
  <c r="D6" i="7" s="1"/>
  <c r="D8" i="7" s="1"/>
  <c r="K10" i="8"/>
  <c r="D12" i="7" s="1"/>
  <c r="E12" i="7" s="1"/>
  <c r="K4" i="8"/>
  <c r="K6" i="8" s="1"/>
  <c r="G4" i="6"/>
  <c r="I10" i="8"/>
  <c r="G12" i="6" s="1"/>
  <c r="H12" i="6" s="1"/>
  <c r="D10" i="6"/>
  <c r="I8" i="8"/>
  <c r="G10" i="6" s="1"/>
  <c r="F4" i="7"/>
  <c r="L10" i="8"/>
  <c r="F12" i="7" s="1"/>
  <c r="G12" i="7" s="1"/>
  <c r="E4" i="6"/>
  <c r="F4" i="6" s="1"/>
  <c r="H10" i="8"/>
  <c r="E12" i="6" s="1"/>
  <c r="F12" i="6" s="1"/>
  <c r="H4" i="8"/>
  <c r="H6" i="8" s="1"/>
  <c r="E4" i="7"/>
  <c r="I9" i="8"/>
  <c r="G13" i="6" s="1"/>
  <c r="H13" i="6" s="1"/>
  <c r="I4" i="8"/>
  <c r="I5" i="8" s="1"/>
  <c r="L4" i="8"/>
  <c r="L5" i="8" s="1"/>
  <c r="L9" i="8"/>
  <c r="F13" i="7" s="1"/>
  <c r="G13" i="7" s="1"/>
  <c r="J15" i="8"/>
  <c r="C15" i="8"/>
  <c r="C16" i="8" s="1"/>
  <c r="D8" i="6" l="1"/>
  <c r="C17" i="8"/>
  <c r="C11" i="3"/>
  <c r="E10" i="3"/>
  <c r="G10" i="3"/>
  <c r="F11" i="3"/>
  <c r="D14" i="7"/>
  <c r="D18" i="7" s="1"/>
  <c r="D20" i="7" s="1"/>
  <c r="D23" i="7" s="1"/>
  <c r="D24" i="7" s="1"/>
  <c r="D25" i="7" s="1"/>
  <c r="J16" i="8"/>
  <c r="J17" i="8" s="1"/>
  <c r="L6" i="8"/>
  <c r="L11" i="8" s="1"/>
  <c r="L15" i="8" s="1"/>
  <c r="L16" i="8" s="1"/>
  <c r="F7" i="7"/>
  <c r="G7" i="7" s="1"/>
  <c r="H10" i="6"/>
  <c r="G11" i="6"/>
  <c r="K11" i="8"/>
  <c r="K15" i="8" s="1"/>
  <c r="K17" i="8" s="1"/>
  <c r="C11" i="7"/>
  <c r="E11" i="7" s="1"/>
  <c r="E10" i="7"/>
  <c r="I6" i="8"/>
  <c r="I11" i="8" s="1"/>
  <c r="I15" i="8" s="1"/>
  <c r="G7" i="6"/>
  <c r="H7" i="6" s="1"/>
  <c r="H11" i="8"/>
  <c r="H15" i="8" s="1"/>
  <c r="H17" i="8" s="1"/>
  <c r="G4" i="7"/>
  <c r="F6" i="7"/>
  <c r="F8" i="7" s="1"/>
  <c r="D11" i="6"/>
  <c r="F11" i="6" s="1"/>
  <c r="F10" i="6"/>
  <c r="G6" i="6"/>
  <c r="H4" i="6"/>
  <c r="F11" i="7"/>
  <c r="G10" i="7"/>
  <c r="D14" i="6"/>
  <c r="D18" i="6" s="1"/>
  <c r="G16" i="8"/>
  <c r="G17" i="8" s="1"/>
  <c r="F16" i="8"/>
  <c r="F17" i="8" s="1"/>
  <c r="G11" i="7" l="1"/>
  <c r="G11" i="3"/>
  <c r="I16" i="8"/>
  <c r="I17" i="8" s="1"/>
  <c r="D19" i="6"/>
  <c r="F19" i="6" s="1"/>
  <c r="H6" i="6"/>
  <c r="G8" i="6"/>
  <c r="F14" i="7"/>
  <c r="F18" i="7" s="1"/>
  <c r="H11" i="6"/>
  <c r="L17" i="8"/>
  <c r="G14" i="6" l="1"/>
  <c r="H8" i="6"/>
  <c r="D20" i="6"/>
  <c r="H4" i="3"/>
  <c r="D9" i="7"/>
  <c r="E9" i="7" s="1"/>
  <c r="D15" i="7"/>
  <c r="E15" i="7" s="1"/>
  <c r="D16" i="7"/>
  <c r="E16" i="7" s="1"/>
  <c r="D17" i="7"/>
  <c r="E17" i="7" s="1"/>
  <c r="D23" i="6" l="1"/>
  <c r="D24" i="6" s="1"/>
  <c r="D25" i="6" s="1"/>
  <c r="C10" i="4" s="1"/>
  <c r="E10" i="4" s="1"/>
  <c r="F20" i="6"/>
  <c r="F23" i="6" s="1"/>
  <c r="F24" i="6" s="1"/>
  <c r="F25" i="6" s="1"/>
  <c r="G18" i="6"/>
  <c r="H14" i="6"/>
  <c r="D6" i="3"/>
  <c r="F17" i="7"/>
  <c r="G17" i="7" s="1"/>
  <c r="F16" i="7"/>
  <c r="G16" i="7" s="1"/>
  <c r="F15" i="7"/>
  <c r="G15" i="7" s="1"/>
  <c r="F9" i="7"/>
  <c r="G9" i="7" s="1"/>
  <c r="C6" i="7"/>
  <c r="D5" i="7"/>
  <c r="E5" i="7" s="1"/>
  <c r="C6" i="6"/>
  <c r="C8" i="6" s="1"/>
  <c r="C14" i="6" s="1"/>
  <c r="C18" i="6" s="1"/>
  <c r="D5" i="6"/>
  <c r="F5" i="6" l="1"/>
  <c r="H5" i="6"/>
  <c r="G19" i="6"/>
  <c r="H18" i="6"/>
  <c r="E6" i="7"/>
  <c r="G6" i="7"/>
  <c r="C8" i="7"/>
  <c r="C19" i="6"/>
  <c r="C20" i="6" s="1"/>
  <c r="E6" i="6"/>
  <c r="C6" i="3"/>
  <c r="E6" i="3" s="1"/>
  <c r="E4" i="3"/>
  <c r="D17" i="3"/>
  <c r="E17" i="3" s="1"/>
  <c r="D11" i="3"/>
  <c r="E11" i="3" s="1"/>
  <c r="D8" i="3"/>
  <c r="E8" i="6" l="1"/>
  <c r="F8" i="6" s="1"/>
  <c r="F6" i="6"/>
  <c r="G20" i="6"/>
  <c r="H19" i="6"/>
  <c r="C8" i="3"/>
  <c r="C14" i="3" s="1"/>
  <c r="C18" i="3" s="1"/>
  <c r="C19" i="3" s="1"/>
  <c r="G6" i="3"/>
  <c r="E8" i="3"/>
  <c r="C14" i="7"/>
  <c r="G8" i="7"/>
  <c r="E8" i="7"/>
  <c r="G4" i="3"/>
  <c r="D14" i="3"/>
  <c r="C20" i="3" l="1"/>
  <c r="C24" i="3" s="1"/>
  <c r="C25" i="3" s="1"/>
  <c r="C26" i="3" s="1"/>
  <c r="B10" i="2" s="1"/>
  <c r="E19" i="3"/>
  <c r="G23" i="6"/>
  <c r="G24" i="6" s="1"/>
  <c r="G25" i="6" s="1"/>
  <c r="F10" i="4" s="1"/>
  <c r="H20" i="6"/>
  <c r="E14" i="3"/>
  <c r="E14" i="6"/>
  <c r="F14" i="6" s="1"/>
  <c r="E14" i="7"/>
  <c r="G14" i="7"/>
  <c r="C18" i="7"/>
  <c r="F8" i="3"/>
  <c r="G8" i="3" s="1"/>
  <c r="E18" i="6"/>
  <c r="F18" i="6" s="1"/>
  <c r="D18" i="3"/>
  <c r="E18" i="3" s="1"/>
  <c r="E18" i="7" l="1"/>
  <c r="G18" i="7"/>
  <c r="C19" i="7"/>
  <c r="E19" i="7" s="1"/>
  <c r="D20" i="3"/>
  <c r="E20" i="3" s="1"/>
  <c r="E24" i="3" s="1"/>
  <c r="E25" i="3" s="1"/>
  <c r="E26" i="3" s="1"/>
  <c r="F19" i="7"/>
  <c r="F14" i="3"/>
  <c r="G14" i="3" s="1"/>
  <c r="F20" i="7" l="1"/>
  <c r="G19" i="7"/>
  <c r="C20" i="7"/>
  <c r="F18" i="3"/>
  <c r="G18" i="3" s="1"/>
  <c r="C23" i="7" l="1"/>
  <c r="C24" i="7" s="1"/>
  <c r="C25" i="7" s="1"/>
  <c r="C10" i="5" s="1"/>
  <c r="E20" i="7"/>
  <c r="F23" i="7"/>
  <c r="F24" i="7" s="1"/>
  <c r="F25" i="7" s="1"/>
  <c r="G20" i="7"/>
  <c r="G23" i="7" s="1"/>
  <c r="G24" i="7" s="1"/>
  <c r="G25" i="7" s="1"/>
  <c r="F19" i="3"/>
  <c r="F20" i="3" l="1"/>
  <c r="G19" i="3"/>
  <c r="F16" i="5"/>
  <c r="D16" i="5"/>
  <c r="C16" i="5"/>
  <c r="E13" i="5"/>
  <c r="E12" i="5"/>
  <c r="C11" i="5"/>
  <c r="J10" i="5"/>
  <c r="G10" i="5"/>
  <c r="E10" i="5"/>
  <c r="J9" i="5"/>
  <c r="F9" i="5"/>
  <c r="F11" i="5" s="1"/>
  <c r="E9" i="5"/>
  <c r="G8" i="5"/>
  <c r="E8" i="5"/>
  <c r="J7" i="5"/>
  <c r="G7" i="5"/>
  <c r="E7" i="5"/>
  <c r="E11" i="5" s="1"/>
  <c r="D7" i="5"/>
  <c r="D11" i="5" s="1"/>
  <c r="D17" i="5" s="1"/>
  <c r="F16" i="4"/>
  <c r="D16" i="4"/>
  <c r="C16" i="4"/>
  <c r="E13" i="4"/>
  <c r="E12" i="4"/>
  <c r="C11" i="4"/>
  <c r="I11" i="4"/>
  <c r="G10" i="4"/>
  <c r="J9" i="4"/>
  <c r="F9" i="4"/>
  <c r="F11" i="4" s="1"/>
  <c r="E9" i="4"/>
  <c r="G8" i="4"/>
  <c r="E8" i="4"/>
  <c r="J7" i="4"/>
  <c r="G7" i="4"/>
  <c r="D7" i="4"/>
  <c r="D11" i="4" s="1"/>
  <c r="D13" i="2"/>
  <c r="E9" i="2"/>
  <c r="G16" i="2"/>
  <c r="B16" i="2"/>
  <c r="E16" i="2"/>
  <c r="C16" i="2"/>
  <c r="D12" i="2"/>
  <c r="D8" i="2"/>
  <c r="D9" i="2"/>
  <c r="B11" i="2"/>
  <c r="F8" i="2"/>
  <c r="F7" i="2"/>
  <c r="C7" i="2"/>
  <c r="D7" i="2" s="1"/>
  <c r="D7" i="1"/>
  <c r="J7" i="1" s="1"/>
  <c r="M7" i="1" s="1"/>
  <c r="E7" i="1"/>
  <c r="E6" i="1"/>
  <c r="K7" i="1"/>
  <c r="Y7" i="1" s="1"/>
  <c r="K8" i="1"/>
  <c r="W8" i="1" s="1"/>
  <c r="K9" i="1"/>
  <c r="Y9" i="1" s="1"/>
  <c r="K6" i="1"/>
  <c r="D6" i="1"/>
  <c r="C17" i="4" l="1"/>
  <c r="W6" i="1"/>
  <c r="O7" i="1"/>
  <c r="E7" i="4"/>
  <c r="E11" i="4" s="1"/>
  <c r="J15" i="1"/>
  <c r="M6" i="1"/>
  <c r="O6" i="1" s="1"/>
  <c r="F17" i="4"/>
  <c r="AC6" i="1"/>
  <c r="AC8" i="1"/>
  <c r="AE9" i="1"/>
  <c r="AE7" i="1"/>
  <c r="AG9" i="1"/>
  <c r="AG7" i="1"/>
  <c r="AC9" i="1"/>
  <c r="AC7" i="1"/>
  <c r="AE6" i="1"/>
  <c r="AE8" i="1"/>
  <c r="AG6" i="1"/>
  <c r="AG8" i="1"/>
  <c r="K15" i="1"/>
  <c r="G20" i="3"/>
  <c r="F24" i="3"/>
  <c r="F25" i="3" s="1"/>
  <c r="F26" i="3" s="1"/>
  <c r="E10" i="2" s="1"/>
  <c r="F10" i="2" s="1"/>
  <c r="F17" i="5"/>
  <c r="I11" i="5"/>
  <c r="C17" i="5"/>
  <c r="D17" i="4"/>
  <c r="J10" i="4"/>
  <c r="J11" i="4" s="1"/>
  <c r="J11" i="5"/>
  <c r="G9" i="5"/>
  <c r="G11" i="5" s="1"/>
  <c r="B17" i="2"/>
  <c r="G9" i="4"/>
  <c r="G11" i="4" s="1"/>
  <c r="D11" i="2"/>
  <c r="C11" i="2"/>
  <c r="C17" i="2" s="1"/>
  <c r="G11" i="2"/>
  <c r="G17" i="2" s="1"/>
  <c r="F9" i="2"/>
  <c r="Y6" i="1"/>
  <c r="AA6" i="1"/>
  <c r="AA8" i="1"/>
  <c r="Y8" i="1"/>
  <c r="AA9" i="1"/>
  <c r="AA7" i="1"/>
  <c r="L9" i="1"/>
  <c r="L7" i="1"/>
  <c r="W9" i="1"/>
  <c r="W7" i="1"/>
  <c r="L6" i="1"/>
  <c r="L8" i="1"/>
  <c r="I15" i="5" l="1"/>
  <c r="I16" i="5" s="1"/>
  <c r="I17" i="5" s="1"/>
  <c r="I15" i="4"/>
  <c r="I16" i="4" s="1"/>
  <c r="I17" i="4" s="1"/>
  <c r="E11" i="2"/>
  <c r="E17" i="2" s="1"/>
  <c r="AB6" i="1"/>
  <c r="U8" i="1"/>
  <c r="S8" i="1"/>
  <c r="T8" i="1" s="1"/>
  <c r="Q8" i="1"/>
  <c r="R8" i="1" s="1"/>
  <c r="AH8" i="1"/>
  <c r="AF8" i="1"/>
  <c r="AD8" i="1"/>
  <c r="Z7" i="1"/>
  <c r="U7" i="1"/>
  <c r="V7" i="1" s="1"/>
  <c r="S7" i="1"/>
  <c r="T7" i="1" s="1"/>
  <c r="Q7" i="1"/>
  <c r="R7" i="1" s="1"/>
  <c r="AH7" i="1"/>
  <c r="AF7" i="1"/>
  <c r="AD7" i="1"/>
  <c r="Z6" i="1"/>
  <c r="U6" i="1"/>
  <c r="V6" i="1" s="1"/>
  <c r="S6" i="1"/>
  <c r="Q6" i="1"/>
  <c r="AD6" i="1"/>
  <c r="AH6" i="1"/>
  <c r="AF6" i="1"/>
  <c r="Z9" i="1"/>
  <c r="U9" i="1"/>
  <c r="V9" i="1" s="1"/>
  <c r="S9" i="1"/>
  <c r="T9" i="1" s="1"/>
  <c r="Q9" i="1"/>
  <c r="R9" i="1" s="1"/>
  <c r="AH9" i="1"/>
  <c r="AF9" i="1"/>
  <c r="AD9" i="1"/>
  <c r="T6" i="1"/>
  <c r="R6" i="1"/>
  <c r="V8" i="1"/>
  <c r="F11" i="2"/>
  <c r="X8" i="1"/>
  <c r="Z8" i="1"/>
  <c r="AB7" i="1"/>
  <c r="AB9" i="1"/>
  <c r="AB8" i="1"/>
  <c r="L15" i="1"/>
  <c r="X6" i="1"/>
  <c r="X7" i="1"/>
  <c r="X9" i="1"/>
  <c r="T15" i="1" l="1"/>
  <c r="Z15" i="1"/>
  <c r="R15" i="1"/>
  <c r="V15" i="1"/>
  <c r="AB15" i="1"/>
</calcChain>
</file>

<file path=xl/sharedStrings.xml><?xml version="1.0" encoding="utf-8"?>
<sst xmlns="http://schemas.openxmlformats.org/spreadsheetml/2006/main" count="301" uniqueCount="159">
  <si>
    <t>Ngày giải ngân</t>
  </si>
  <si>
    <t>Ngày đến hạn</t>
  </si>
  <si>
    <t>Kỳ hạn</t>
  </si>
  <si>
    <t>Gốc lãi</t>
  </si>
  <si>
    <t xml:space="preserve">Gốc lãi hiện tại </t>
  </si>
  <si>
    <t>Gốc lãi sau cơ cấu</t>
  </si>
  <si>
    <t>LS</t>
  </si>
  <si>
    <t>Lãi</t>
  </si>
  <si>
    <t>Gốc ban đầu</t>
  </si>
  <si>
    <t>Cơ cấu lãi 3 tháng gốc 9 tháng</t>
  </si>
  <si>
    <t>Cơ cấu lãi 6 tháng gốc 9 tháng</t>
  </si>
  <si>
    <t>Cơ cấu lãi 9 tháng gốc 9 tháng</t>
  </si>
  <si>
    <t>Ân hạn lãi 3 tháng</t>
  </si>
  <si>
    <t>Ân hạn lãi 6 tháng</t>
  </si>
  <si>
    <t>gốc lãi</t>
  </si>
  <si>
    <t>ân hạn lãi 9 tháng</t>
  </si>
  <si>
    <t>STT</t>
  </si>
  <si>
    <t>Tiêu chí</t>
  </si>
  <si>
    <t>Chênh lệch/thay đổi trong dịch so với trước dịch</t>
  </si>
  <si>
    <t>Chênh lệch/thay đổi sau dịch so với trước dịch</t>
  </si>
  <si>
    <r>
      <t>1.</t>
    </r>
    <r>
      <rPr>
        <b/>
        <sz val="7"/>
        <color rgb="FF000000"/>
        <rFont val="Times New Roman"/>
        <family val="1"/>
        <charset val="163"/>
      </rPr>
      <t xml:space="preserve">                  </t>
    </r>
    <r>
      <rPr>
        <b/>
        <sz val="11"/>
        <color rgb="FF000000"/>
        <rFont val="Times New Roman"/>
        <family val="1"/>
        <charset val="163"/>
      </rPr>
      <t> </t>
    </r>
  </si>
  <si>
    <t xml:space="preserve">Thu nhập </t>
  </si>
  <si>
    <t>Thu nhập từ lương khách hàng Nguyễn Tuấn Dũng và Nguyễn Hương Trinh</t>
  </si>
  <si>
    <t>Thu nhập từ cho thuê 2 BĐS tại địa chỉ số 90, ngõ 116 đường Nhân Hòa, phường Nhân Chính, quận Thanh Xuân, Hà Nội</t>
  </si>
  <si>
    <t>Thu nhập từ cho thuê 13B-15 Tôn Đản</t>
  </si>
  <si>
    <t>Thu nhập từ hoạt động kinh doanh của công ty CÔNG TY TNHH ĐẦU TƯ QUẢN LÝ CITITEL</t>
  </si>
  <si>
    <r>
      <t>2.</t>
    </r>
    <r>
      <rPr>
        <b/>
        <sz val="7"/>
        <color rgb="FF000000"/>
        <rFont val="Times New Roman"/>
        <family val="1"/>
        <charset val="163"/>
      </rPr>
      <t xml:space="preserve">                  </t>
    </r>
    <r>
      <rPr>
        <b/>
        <sz val="11"/>
        <color rgb="FF000000"/>
        <rFont val="Times New Roman"/>
        <family val="1"/>
        <charset val="163"/>
      </rPr>
      <t> </t>
    </r>
  </si>
  <si>
    <r>
      <t>4.</t>
    </r>
    <r>
      <rPr>
        <b/>
        <sz val="7"/>
        <color rgb="FF000000"/>
        <rFont val="Times New Roman"/>
        <family val="1"/>
        <charset val="163"/>
      </rPr>
      <t xml:space="preserve">                  </t>
    </r>
    <r>
      <rPr>
        <b/>
        <sz val="11"/>
        <color rgb="FF000000"/>
        <rFont val="Times New Roman"/>
        <family val="1"/>
        <charset val="163"/>
      </rPr>
      <t> </t>
    </r>
  </si>
  <si>
    <t>Sinh hoạt phí</t>
  </si>
  <si>
    <r>
      <t>5.</t>
    </r>
    <r>
      <rPr>
        <b/>
        <sz val="7"/>
        <color rgb="FF000000"/>
        <rFont val="Times New Roman"/>
        <family val="1"/>
        <charset val="163"/>
      </rPr>
      <t xml:space="preserve">                  </t>
    </r>
    <r>
      <rPr>
        <b/>
        <sz val="11"/>
        <color rgb="FF000000"/>
        <rFont val="Times New Roman"/>
        <family val="1"/>
        <charset val="163"/>
      </rPr>
      <t> </t>
    </r>
  </si>
  <si>
    <t>Các khoản gốc lãi tại Vietcombank Sài Gòn</t>
  </si>
  <si>
    <r>
      <t>7.</t>
    </r>
    <r>
      <rPr>
        <b/>
        <sz val="7"/>
        <color rgb="FF000000"/>
        <rFont val="Times New Roman"/>
        <family val="1"/>
        <charset val="163"/>
      </rPr>
      <t xml:space="preserve">                  </t>
    </r>
    <r>
      <rPr>
        <b/>
        <sz val="11"/>
        <color rgb="FF000000"/>
        <rFont val="Times New Roman"/>
        <family val="1"/>
        <charset val="163"/>
      </rPr>
      <t> </t>
    </r>
  </si>
  <si>
    <t>5% hạn mức thẻ tín dụng</t>
  </si>
  <si>
    <r>
      <t>8.</t>
    </r>
    <r>
      <rPr>
        <b/>
        <sz val="7"/>
        <color rgb="FF000000"/>
        <rFont val="Times New Roman"/>
        <family val="1"/>
        <charset val="163"/>
      </rPr>
      <t xml:space="preserve">                  </t>
    </r>
    <r>
      <rPr>
        <b/>
        <sz val="11"/>
        <color rgb="FF000000"/>
        <rFont val="Times New Roman"/>
        <family val="1"/>
        <charset val="163"/>
      </rPr>
      <t> </t>
    </r>
  </si>
  <si>
    <t>Gốc lãi SHB Ba Đình</t>
  </si>
  <si>
    <r>
      <t>9.</t>
    </r>
    <r>
      <rPr>
        <b/>
        <sz val="7"/>
        <color rgb="FF000000"/>
        <rFont val="Times New Roman"/>
        <family val="1"/>
        <charset val="163"/>
      </rPr>
      <t xml:space="preserve">                  </t>
    </r>
    <r>
      <rPr>
        <b/>
        <sz val="11"/>
        <color rgb="FF000000"/>
        <rFont val="Times New Roman"/>
        <family val="1"/>
        <charset val="163"/>
      </rPr>
      <t> </t>
    </r>
  </si>
  <si>
    <r>
      <t>10.</t>
    </r>
    <r>
      <rPr>
        <b/>
        <sz val="7"/>
        <color rgb="FF000000"/>
        <rFont val="Times New Roman"/>
        <family val="1"/>
        <charset val="163"/>
      </rPr>
      <t xml:space="preserve">              </t>
    </r>
    <r>
      <rPr>
        <b/>
        <sz val="11"/>
        <color rgb="FF000000"/>
        <rFont val="Times New Roman"/>
        <family val="1"/>
        <charset val="163"/>
      </rPr>
      <t> </t>
    </r>
  </si>
  <si>
    <t>Đánh giá</t>
  </si>
  <si>
    <t xml:space="preserve">Đủ thanh toán </t>
  </si>
  <si>
    <t xml:space="preserve">Khách hàng không có khả năng thanh toán gốc lãi SHB </t>
  </si>
  <si>
    <t>Trong dịch dự kiến kết thúc 30/04/2020</t>
  </si>
  <si>
    <t>Chênh lệch thay đổi so với trước dịch</t>
  </si>
  <si>
    <t>TỔNG THU NHẬP</t>
  </si>
  <si>
    <t>THU NHẬP RÒNG</t>
  </si>
  <si>
    <t>TỔNG CHI PHÍ</t>
  </si>
  <si>
    <t>Cơ cấu gốc lãi 3 tháng</t>
  </si>
  <si>
    <t>Cơ cấu gốc lãi 6 tháng</t>
  </si>
  <si>
    <t>Cơ cấu gốc lãi 9 tháng</t>
  </si>
  <si>
    <t xml:space="preserve">Dự báo sau dịch từ 30/07/2020 </t>
  </si>
  <si>
    <t>Khách hàng bắt đầu phục hồi nhưng chưa có khả năng thanh toán gốc lãi SHB.</t>
  </si>
  <si>
    <t>Khách hàng có khả năng thanh toán gốc lãi SHB</t>
  </si>
  <si>
    <t>Trước dịch trước 23/01/2020</t>
  </si>
  <si>
    <t>Trong dịch từ 21/01/2020 đến 30/06/2020 (tính bình quân tháng)</t>
  </si>
  <si>
    <t>Dự báo sau dịch từ 30/06/2020 đến 30/09/2020 (tính bình quân tháng)</t>
  </si>
  <si>
    <t xml:space="preserve">Dự báo sau dịch từ 30/09/2020 </t>
  </si>
  <si>
    <t xml:space="preserve">Khách hàng có khả năng thanh toán gốc lãi SHB </t>
  </si>
  <si>
    <t>Trong dịch từ 21/01/2020 đến 30/08/2020 (tính bình quân tháng)</t>
  </si>
  <si>
    <t>Dự báo sau dịch từ 30/08/2020 đến 30/12/2020 (tính bình quân tháng)</t>
  </si>
  <si>
    <t>Trước dịch 23/10/2019 đến 23/01/2020</t>
  </si>
  <si>
    <t>Trong dịch (lấy số liệu từ ngày 23/01/2020 đến ngày 23/04/2020)</t>
  </si>
  <si>
    <t xml:space="preserve">Dự báo sau dịch (lấy số liệu từ ngày kiểm soát được dịch dự kiến đến ngày 23/07/2020 </t>
  </si>
  <si>
    <t>Doanh thu bán hàng và cung cấp dịch vụ</t>
  </si>
  <si>
    <t>Các khoản giảm trừ doanh thu</t>
  </si>
  <si>
    <t xml:space="preserve">Doanh thu thuần về bán hàng và cung cấp dịch vụ </t>
  </si>
  <si>
    <t>Giá vốn hàng bán</t>
  </si>
  <si>
    <t>Lợi nhuận gộp về bán hàng và cung cấp dịch vụ</t>
  </si>
  <si>
    <t>Doanh thu hoạt động tài chính</t>
  </si>
  <si>
    <t>Chi phí tài chính</t>
  </si>
  <si>
    <t>- trong đó: Chi phí lãi vay</t>
  </si>
  <si>
    <t xml:space="preserve"> Chi phí quản lý kinh doanh</t>
  </si>
  <si>
    <t>Lợi nhuận thuần từ hoạt động kinh doanh</t>
  </si>
  <si>
    <t>Thu nhập khác</t>
  </si>
  <si>
    <t>Chi phí khác</t>
  </si>
  <si>
    <t>Lợi nhuận khác</t>
  </si>
  <si>
    <t xml:space="preserve">Tổng lợi nhuận kế toán trước thuế </t>
  </si>
  <si>
    <t>Chi phí thuế thu nhập doanh nghiệp</t>
  </si>
  <si>
    <t>Lợi nhuận sau thuế thu nhập doanh nghiệp</t>
  </si>
  <si>
    <t>Chi phí bán hàng</t>
  </si>
  <si>
    <t>Trước dịch 23/8/2019 đến ngày 23/1/2020)</t>
  </si>
  <si>
    <t>Trong dịch (lấy số liệu từ ngày 23/1/2020 đến ngày 23/06/2020)</t>
  </si>
  <si>
    <t>Dự báo sau dịch (lấy số liệu 30/06/2020 ngày 30/11/2020</t>
  </si>
  <si>
    <t>Trước dịch 23/6/2019 đến 23/01/2020</t>
  </si>
  <si>
    <t>Trong dịch (lấy số liệu từ ngày 23/01/2020 đến ngày 23/08/2020)</t>
  </si>
  <si>
    <t xml:space="preserve">Dự báo sau dịch (lấy số liệu từ ngày 23/08 /2020 đến ngày 23/03/2021 </t>
  </si>
  <si>
    <t>Năm 2019</t>
  </si>
  <si>
    <t>Trước dịch từ 
10/2019 đến 01/2020</t>
  </si>
  <si>
    <t>Trong dịch(lấy số liệu từ
 01/2020 đến 04/2020)</t>
  </si>
  <si>
    <t>Dự báo sau dịch từ 
khi kiểm soát được 
dịch đến 23/07/2020</t>
  </si>
  <si>
    <t>Trước dịch từ 08/2019 đến 01/2020</t>
  </si>
  <si>
    <t>Trong dịch (lấy số liệu từ 
01/2020 đ
ến 23/06/2020</t>
  </si>
  <si>
    <t>Dự báo sau dịch 
từ khi kiểm soát 
được dịch đến 
11/2020</t>
  </si>
  <si>
    <t>Trước dịch từ
 06/2019-01/2020</t>
  </si>
  <si>
    <t>Trong dịch từ 01/2020 
đến 08/2020</t>
  </si>
  <si>
    <t>Dự báo sau dịch từ khi 
kiểm soát được
 dịch đến 03/2021</t>
  </si>
  <si>
    <t>doanh thu bán hàng và cung cấp dịch vụ</t>
  </si>
  <si>
    <t>các khoản giảm trừ doanh thu</t>
  </si>
  <si>
    <t>doanh thu thuần bán hàng và cung cấp dịch vụ</t>
  </si>
  <si>
    <t>giá vốn bán hàng</t>
  </si>
  <si>
    <t>lợi nhuận gộp bán hàng và cung cấp dịch vụ</t>
  </si>
  <si>
    <t>doanh thu hoạt động tài chính</t>
  </si>
  <si>
    <t>chi phí tài chính</t>
  </si>
  <si>
    <t>chi phí quản lý kinh doanh</t>
  </si>
  <si>
    <t>lợi nhuận từ hoạt động kinh doanh</t>
  </si>
  <si>
    <t>thu nhập khác</t>
  </si>
  <si>
    <t>chi phí khác</t>
  </si>
  <si>
    <t>lợi nhuận khác</t>
  </si>
  <si>
    <t>lợi nhuận trc thuế</t>
  </si>
  <si>
    <t>chi phí thuế</t>
  </si>
  <si>
    <t>lợi nhuận sau thuế</t>
  </si>
  <si>
    <t>1. Doanh thu bán hàng và cung cấp dịch vụ</t>
  </si>
  <si>
    <t>2. Các khoản giảm trừ doanh thu</t>
  </si>
  <si>
    <t>3. Doanh thu thuần về bán hàng và cung cấp dịch vụ (10 = 01 - 02)</t>
  </si>
  <si>
    <t>4. Giá vốn hàng bán</t>
  </si>
  <si>
    <t>5. Lợi nhuận gộp về bán hàng và cung cấp dịch vụ (20 = 10 - 11)</t>
  </si>
  <si>
    <t>6. Doanh thu hoạt động tài chính</t>
  </si>
  <si>
    <t>7. Chi phí tài chính</t>
  </si>
  <si>
    <t>- Trong đó: Chi phí lãi vay</t>
  </si>
  <si>
    <t>8. Chi phí bán hàng</t>
  </si>
  <si>
    <t>9. Chi phí quản lý doanh nghiệp</t>
  </si>
  <si>
    <t>10. Lợi nhuận thuần từ hoạt động kinh doanh (30 = 20 + (21 -22) – 25 – 26</t>
  </si>
  <si>
    <t>11. Thu nhập khác</t>
  </si>
  <si>
    <t>12. Chi phí khác</t>
  </si>
  <si>
    <t>13. Lợi nhuận khác (40 = 31 - 32)</t>
  </si>
  <si>
    <t>14. Tổng lợi nhuận kế toán trước thuế (50 = 30 + 40)</t>
  </si>
  <si>
    <t>15. Chi phí thuế TNDN hiện hành</t>
  </si>
  <si>
    <t>16. Chi phí thuế TNDN hoãn lại</t>
  </si>
  <si>
    <t>17. Lợi nhuận sau thuế thu nhập doanh nghiệp (60 = 50 - 51 - 52)</t>
  </si>
  <si>
    <t>Tháng 1/2020</t>
  </si>
  <si>
    <t>Nghĩa vụ trả nợ gốc</t>
  </si>
  <si>
    <t>Lợi nhuận còn lại</t>
  </si>
  <si>
    <t>Lợi nhuận được chia</t>
  </si>
  <si>
    <t>Nghĩa vụ trả gốc</t>
  </si>
  <si>
    <t>Lợi nhuận được chia tb tháng</t>
  </si>
  <si>
    <t>Dự báo sau dịch từ 30/04/2020</t>
  </si>
  <si>
    <t xml:space="preserve"> </t>
  </si>
  <si>
    <t>TB tháng</t>
  </si>
  <si>
    <t>Trước dịch</t>
  </si>
  <si>
    <t>Lợi nhuận sau thuế</t>
  </si>
  <si>
    <t>Thu Nhập của Ông Dũng (70%*51%)</t>
  </si>
  <si>
    <t>-</t>
  </si>
  <si>
    <t>Thu nhập trung bình tháng</t>
  </si>
  <si>
    <t>Trong dịch</t>
  </si>
  <si>
    <t>Sau dịch</t>
  </si>
  <si>
    <t>KB1 30/04/2020</t>
  </si>
  <si>
    <t>KB2 30/06/2020</t>
  </si>
  <si>
    <t>KB3 31/08/2020</t>
  </si>
  <si>
    <t xml:space="preserve">Dự kiến thu nhập sau 3 tháng sau dịch dự kiến doanh thu phục hồi 60-70% ~ lợi nhuận phục hồi 50% trước dịch </t>
  </si>
  <si>
    <t>Cơ cấu gốc 8 kỳ</t>
  </si>
  <si>
    <t>Cơ cấu lãi 4 kỳ</t>
  </si>
  <si>
    <t>Gốc sau cơ cấu</t>
  </si>
  <si>
    <t>Lãi sau cơ cấu</t>
  </si>
  <si>
    <t>Số kỳ trả nợ hiện tại</t>
  </si>
  <si>
    <t>Số kỳ trả nợ sau cơ cấu</t>
  </si>
  <si>
    <t>Gốc hiện tại</t>
  </si>
  <si>
    <t>Kỳ hạn sau cơ cấu</t>
  </si>
  <si>
    <t>Nghĩa vụ trả cao nhất sau cơ cấu</t>
  </si>
  <si>
    <t>Gốc sau cơ cấu 8 tháng</t>
  </si>
  <si>
    <t>T12</t>
  </si>
  <si>
    <t>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</si>
</sst>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;\(#,##0\)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163"/>
    </font>
    <font>
      <b/>
      <i/>
      <sz val="11"/>
      <color rgb="FF000000"/>
      <name val="Times New Roman"/>
      <family val="1"/>
      <charset val="163"/>
    </font>
    <font>
      <b/>
      <sz val="7"/>
      <color rgb="FF000000"/>
      <name val="Times New Roman"/>
      <family val="1"/>
      <charset val="163"/>
    </font>
    <font>
      <i/>
      <sz val="11"/>
      <color rgb="FF000000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rgb="FFFF0000"/>
      <name val="Arial"/>
      <family val="2"/>
      <charset val="163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/>
    <xf numFmtId="0" fontId="0" fillId="0" borderId="1" xfId="0" applyFill="1" applyBorder="1" applyAlignment="1">
      <alignment wrapText="1"/>
    </xf>
    <xf numFmtId="164" fontId="0" fillId="0" borderId="1" xfId="0" applyNumberFormat="1" applyBorder="1"/>
    <xf numFmtId="43" fontId="0" fillId="0" borderId="1" xfId="0" applyNumberFormat="1" applyBorder="1"/>
    <xf numFmtId="43" fontId="0" fillId="0" borderId="0" xfId="0" applyNumberFormat="1"/>
    <xf numFmtId="0" fontId="0" fillId="3" borderId="0" xfId="0" applyFill="1"/>
    <xf numFmtId="0" fontId="0" fillId="0" borderId="0" xfId="0" applyFill="1"/>
    <xf numFmtId="43" fontId="0" fillId="0" borderId="1" xfId="0" applyNumberForma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0" fillId="0" borderId="0" xfId="0" applyNumberFormat="1" applyAlignment="1">
      <alignment horizontal="left"/>
    </xf>
    <xf numFmtId="2" fontId="3" fillId="0" borderId="1" xfId="0" applyNumberFormat="1" applyFont="1" applyBorder="1" applyAlignment="1">
      <alignment horizontal="left" wrapText="1" indent="4"/>
    </xf>
    <xf numFmtId="2" fontId="6" fillId="0" borderId="1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7" fillId="0" borderId="8" xfId="0" applyFont="1" applyFill="1" applyBorder="1"/>
    <xf numFmtId="3" fontId="7" fillId="0" borderId="1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3" fontId="7" fillId="0" borderId="8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4" fontId="3" fillId="0" borderId="5" xfId="1" applyNumberFormat="1" applyFont="1" applyBorder="1" applyAlignment="1">
      <alignment horizontal="right"/>
    </xf>
    <xf numFmtId="164" fontId="7" fillId="0" borderId="5" xfId="1" applyNumberFormat="1" applyFont="1" applyBorder="1" applyAlignment="1">
      <alignment horizontal="right"/>
    </xf>
    <xf numFmtId="164" fontId="8" fillId="0" borderId="5" xfId="1" applyNumberFormat="1" applyFont="1" applyBorder="1" applyAlignment="1">
      <alignment horizontal="right"/>
    </xf>
    <xf numFmtId="164" fontId="7" fillId="0" borderId="8" xfId="1" applyNumberFormat="1" applyFont="1" applyBorder="1" applyAlignment="1">
      <alignment horizontal="right"/>
    </xf>
    <xf numFmtId="164" fontId="8" fillId="0" borderId="8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0" fillId="0" borderId="0" xfId="1" applyNumberFormat="1" applyFont="1"/>
    <xf numFmtId="0" fontId="9" fillId="0" borderId="0" xfId="0" applyFont="1" applyAlignment="1">
      <alignment wrapText="1"/>
    </xf>
    <xf numFmtId="3" fontId="9" fillId="0" borderId="0" xfId="0" applyNumberFormat="1" applyFont="1"/>
    <xf numFmtId="3" fontId="10" fillId="0" borderId="0" xfId="0" applyNumberFormat="1" applyFont="1" applyBorder="1"/>
    <xf numFmtId="3" fontId="0" fillId="0" borderId="0" xfId="0" applyNumberFormat="1"/>
    <xf numFmtId="0" fontId="9" fillId="0" borderId="0" xfId="0" applyFont="1"/>
    <xf numFmtId="3" fontId="9" fillId="0" borderId="0" xfId="0" applyNumberFormat="1" applyFont="1" applyBorder="1"/>
    <xf numFmtId="165" fontId="0" fillId="0" borderId="0" xfId="0" applyNumberFormat="1"/>
    <xf numFmtId="165" fontId="12" fillId="3" borderId="0" xfId="0" applyNumberFormat="1" applyFont="1" applyFill="1"/>
    <xf numFmtId="43" fontId="0" fillId="0" borderId="0" xfId="1" applyFont="1"/>
    <xf numFmtId="43" fontId="3" fillId="0" borderId="1" xfId="1" applyFont="1" applyBorder="1" applyAlignment="1">
      <alignment vertical="top" wrapText="1"/>
    </xf>
    <xf numFmtId="43" fontId="7" fillId="0" borderId="1" xfId="1" applyFont="1" applyBorder="1" applyAlignment="1">
      <alignment vertical="top" wrapText="1"/>
    </xf>
    <xf numFmtId="164" fontId="3" fillId="0" borderId="1" xfId="1" applyNumberFormat="1" applyFont="1" applyBorder="1" applyAlignment="1">
      <alignment vertical="top" wrapText="1"/>
    </xf>
    <xf numFmtId="164" fontId="7" fillId="0" borderId="1" xfId="1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3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13" fillId="0" borderId="11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1" xfId="0" applyFont="1" applyBorder="1" applyAlignment="1">
      <alignment wrapText="1"/>
    </xf>
    <xf numFmtId="164" fontId="15" fillId="0" borderId="1" xfId="0" applyNumberFormat="1" applyFont="1" applyBorder="1" applyAlignment="1">
      <alignment wrapText="1"/>
    </xf>
    <xf numFmtId="164" fontId="15" fillId="0" borderId="0" xfId="0" applyNumberFormat="1" applyFont="1"/>
    <xf numFmtId="164" fontId="16" fillId="0" borderId="0" xfId="1" applyNumberFormat="1" applyFont="1" applyAlignment="1">
      <alignment horizontal="justify"/>
    </xf>
    <xf numFmtId="43" fontId="0" fillId="0" borderId="1" xfId="1" applyFont="1" applyBorder="1" applyAlignment="1">
      <alignment wrapText="1"/>
    </xf>
    <xf numFmtId="43" fontId="15" fillId="0" borderId="1" xfId="1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43" fontId="7" fillId="0" borderId="1" xfId="1" applyNumberFormat="1" applyFont="1" applyBorder="1" applyAlignment="1">
      <alignment vertical="top" wrapText="1"/>
    </xf>
    <xf numFmtId="43" fontId="2" fillId="0" borderId="0" xfId="0" applyNumberFormat="1" applyFont="1"/>
    <xf numFmtId="164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left" wrapText="1"/>
    </xf>
    <xf numFmtId="0" fontId="11" fillId="0" borderId="10" xfId="0" applyNumberFormat="1" applyFont="1" applyFill="1" applyBorder="1" applyAlignment="1" applyProtection="1">
      <alignment horizontal="left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&#7890;%20S&#416;/N&#258;M%202019/H&#7890;%20S&#416;%20KHCN/KHO&#7842;N%20V&#431;&#7906;T%20C&#7844;P/HS%20NGUY&#7876;N%20TU&#7844;N%20D&#360;NG/Copy%20of%20KQKD%202018+2019%20HOP%20NH&#193;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9 (2)"/>
    </sheetNames>
    <sheetDataSet>
      <sheetData sheetId="0">
        <row r="14">
          <cell r="O14">
            <v>23808217479</v>
          </cell>
        </row>
        <row r="17">
          <cell r="O17">
            <v>16063775308</v>
          </cell>
        </row>
        <row r="19">
          <cell r="O19">
            <v>802018</v>
          </cell>
        </row>
        <row r="20">
          <cell r="O20">
            <v>29951375</v>
          </cell>
        </row>
        <row r="21">
          <cell r="O21">
            <v>29951375</v>
          </cell>
        </row>
        <row r="22">
          <cell r="O22">
            <v>485156162</v>
          </cell>
        </row>
        <row r="23">
          <cell r="O23">
            <v>1407924716</v>
          </cell>
        </row>
        <row r="25">
          <cell r="O25">
            <v>58782375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23"/>
  <sheetViews>
    <sheetView tabSelected="1" topLeftCell="C1" workbookViewId="0">
      <selection activeCell="I19" sqref="I19"/>
    </sheetView>
  </sheetViews>
  <sheetFormatPr defaultRowHeight="15" x14ac:dyDescent="0.25"/>
  <cols>
    <col min="1" max="1" width="13.7109375" customWidth="1"/>
    <col min="2" max="2" width="14.5703125" customWidth="1"/>
    <col min="3" max="3" width="17.42578125" bestFit="1" customWidth="1"/>
    <col min="4" max="4" width="9.28515625" customWidth="1"/>
    <col min="5" max="5" width="12.5703125" hidden="1" customWidth="1"/>
    <col min="6" max="6" width="9.28515625" customWidth="1"/>
    <col min="7" max="7" width="9.7109375" customWidth="1"/>
    <col min="8" max="8" width="7.28515625" customWidth="1"/>
    <col min="9" max="9" width="9.5703125" customWidth="1"/>
    <col min="10" max="10" width="10.28515625" customWidth="1"/>
    <col min="11" max="12" width="9.42578125" customWidth="1"/>
    <col min="13" max="16" width="9.42578125" style="81" customWidth="1"/>
    <col min="17" max="22" width="9.42578125" customWidth="1"/>
    <col min="23" max="23" width="9.42578125" hidden="1" customWidth="1"/>
    <col min="24" max="24" width="9.85546875" style="14" hidden="1" customWidth="1"/>
    <col min="25" max="25" width="9.42578125" hidden="1" customWidth="1"/>
    <col min="26" max="28" width="9.140625" hidden="1" customWidth="1"/>
    <col min="29" max="34" width="0" hidden="1" customWidth="1"/>
  </cols>
  <sheetData>
    <row r="3" spans="1:34" x14ac:dyDescent="0.25">
      <c r="B3" s="1">
        <v>43974</v>
      </c>
      <c r="E3" s="1">
        <v>44219</v>
      </c>
    </row>
    <row r="5" spans="1:34" ht="75" x14ac:dyDescent="0.25">
      <c r="A5" s="3" t="s">
        <v>0</v>
      </c>
      <c r="B5" s="3" t="s">
        <v>1</v>
      </c>
      <c r="C5" s="3" t="s">
        <v>2</v>
      </c>
      <c r="D5" s="3" t="s">
        <v>151</v>
      </c>
      <c r="E5" s="3" t="s">
        <v>152</v>
      </c>
      <c r="F5" s="3" t="s">
        <v>8</v>
      </c>
      <c r="G5" s="3" t="s">
        <v>153</v>
      </c>
      <c r="H5" s="3" t="s">
        <v>6</v>
      </c>
      <c r="I5" s="3" t="s">
        <v>154</v>
      </c>
      <c r="J5" s="3" t="s">
        <v>156</v>
      </c>
      <c r="K5" s="3" t="s">
        <v>7</v>
      </c>
      <c r="L5" s="3" t="s">
        <v>4</v>
      </c>
      <c r="M5" s="82" t="s">
        <v>147</v>
      </c>
      <c r="N5" s="82" t="s">
        <v>148</v>
      </c>
      <c r="O5" s="82" t="s">
        <v>149</v>
      </c>
      <c r="P5" s="82" t="s">
        <v>150</v>
      </c>
      <c r="Q5" s="3" t="s">
        <v>45</v>
      </c>
      <c r="R5" s="9" t="s">
        <v>5</v>
      </c>
      <c r="S5" s="3" t="s">
        <v>46</v>
      </c>
      <c r="T5" s="9" t="s">
        <v>5</v>
      </c>
      <c r="U5" s="3" t="s">
        <v>47</v>
      </c>
      <c r="V5" s="3" t="s">
        <v>5</v>
      </c>
      <c r="W5" s="3" t="s">
        <v>9</v>
      </c>
      <c r="X5" s="9" t="s">
        <v>5</v>
      </c>
      <c r="Y5" s="3" t="s">
        <v>10</v>
      </c>
      <c r="Z5" s="9" t="s">
        <v>5</v>
      </c>
      <c r="AA5" s="3" t="s">
        <v>11</v>
      </c>
      <c r="AB5" s="3" t="s">
        <v>5</v>
      </c>
      <c r="AC5" s="9" t="s">
        <v>12</v>
      </c>
      <c r="AD5" s="9" t="s">
        <v>3</v>
      </c>
      <c r="AE5" s="9" t="s">
        <v>13</v>
      </c>
      <c r="AF5" s="9" t="s">
        <v>14</v>
      </c>
      <c r="AG5" s="9" t="s">
        <v>15</v>
      </c>
      <c r="AH5" s="9" t="s">
        <v>14</v>
      </c>
    </row>
    <row r="6" spans="1:34" x14ac:dyDescent="0.25">
      <c r="A6" s="4">
        <v>42804</v>
      </c>
      <c r="B6" s="4">
        <v>51935</v>
      </c>
      <c r="C6" s="3">
        <v>300</v>
      </c>
      <c r="D6" s="5">
        <f>(B6-$B$3)/30</f>
        <v>265.36666666666667</v>
      </c>
      <c r="E6" s="5">
        <f>(B6-$E$3)/30</f>
        <v>257.2</v>
      </c>
      <c r="F6" s="6">
        <v>54800</v>
      </c>
      <c r="G6" s="6">
        <v>4662</v>
      </c>
      <c r="H6" s="6">
        <v>12.9</v>
      </c>
      <c r="I6" s="6">
        <f>D6-8</f>
        <v>257.36666666666667</v>
      </c>
      <c r="J6" s="86">
        <f>190*8/I6+190</f>
        <v>195.90597072918015</v>
      </c>
      <c r="K6" s="6">
        <f>G6*H6%/12</f>
        <v>50.116500000000002</v>
      </c>
      <c r="L6" s="7">
        <f>J6+K6</f>
        <v>246.02247072918016</v>
      </c>
      <c r="M6" s="83">
        <f>J6*8</f>
        <v>1567.2477658334412</v>
      </c>
      <c r="N6" s="83"/>
      <c r="O6" s="87">
        <f>J6+M6/E6</f>
        <v>201.99946904112977</v>
      </c>
      <c r="P6" s="83"/>
      <c r="Q6" s="7">
        <f>L6*3</f>
        <v>738.06741218754041</v>
      </c>
      <c r="R6" s="16">
        <f>L6+Q6/(D6-3)</f>
        <v>248.83558499237748</v>
      </c>
      <c r="S6" s="7">
        <f>L6*6</f>
        <v>1476.1348243750808</v>
      </c>
      <c r="T6" s="10">
        <f>L6+S6/(D6-6)</f>
        <v>251.71377579681317</v>
      </c>
      <c r="U6" s="10">
        <f>L6*9</f>
        <v>2214.2022365626212</v>
      </c>
      <c r="V6" s="10">
        <f>L6+U6/(D6-9)</f>
        <v>254.65932771746239</v>
      </c>
      <c r="W6" s="7">
        <f>K6*3+J6*9</f>
        <v>1913.5032365626214</v>
      </c>
      <c r="X6" s="15">
        <f>L6+W6/E6</f>
        <v>253.4622189273241</v>
      </c>
      <c r="Y6" s="7">
        <f>K6*6+J6*9</f>
        <v>2063.8527365626214</v>
      </c>
      <c r="Z6" s="11">
        <f>L6+Y6/E6</f>
        <v>254.04678152452473</v>
      </c>
      <c r="AA6" s="10">
        <f>K6*9+J6*9</f>
        <v>2214.2022365626212</v>
      </c>
      <c r="AB6" s="11">
        <f>AA6/D6+L6</f>
        <v>254.36640579975906</v>
      </c>
      <c r="AC6" s="8">
        <f>K6*3</f>
        <v>150.34950000000001</v>
      </c>
      <c r="AD6" s="8">
        <f>L6+AC6/E6</f>
        <v>246.60703332638079</v>
      </c>
      <c r="AE6" s="8">
        <f>K6*6</f>
        <v>300.69900000000001</v>
      </c>
      <c r="AF6" s="8">
        <f>L6+AE6/E6</f>
        <v>247.19159592358139</v>
      </c>
      <c r="AG6" s="8">
        <f>K6*9</f>
        <v>451.04849999999999</v>
      </c>
      <c r="AH6" s="8">
        <f>L6+AG6/E6</f>
        <v>247.77615852078202</v>
      </c>
    </row>
    <row r="7" spans="1:34" x14ac:dyDescent="0.25">
      <c r="A7" s="4">
        <v>43290</v>
      </c>
      <c r="B7" s="4">
        <v>46943</v>
      </c>
      <c r="C7" s="3">
        <v>120</v>
      </c>
      <c r="D7" s="5">
        <f t="shared" ref="D7" si="0">(B7-$B$3)/30</f>
        <v>98.966666666666669</v>
      </c>
      <c r="E7" s="5">
        <f t="shared" ref="E7" si="1">(B7-$E$3)/30</f>
        <v>90.8</v>
      </c>
      <c r="F7" s="6">
        <v>25000</v>
      </c>
      <c r="G7" s="6">
        <v>20248</v>
      </c>
      <c r="H7" s="6">
        <v>13.4</v>
      </c>
      <c r="I7" s="6">
        <f t="shared" ref="I7:I9" si="2">D7-8</f>
        <v>90.966666666666669</v>
      </c>
      <c r="J7" s="86">
        <f t="shared" ref="J7:J9" si="3">G7/I7</f>
        <v>222.58702821546353</v>
      </c>
      <c r="K7" s="6">
        <f t="shared" ref="K7:K9" si="4">G7*H7%/12</f>
        <v>226.10266666666666</v>
      </c>
      <c r="L7" s="7">
        <f t="shared" ref="L7:L9" si="5">J7+K7</f>
        <v>448.6896948821302</v>
      </c>
      <c r="M7" s="83">
        <f t="shared" ref="M7:M9" si="6">J7*8</f>
        <v>1780.6962257237083</v>
      </c>
      <c r="N7" s="83"/>
      <c r="O7" s="87">
        <f t="shared" ref="O7:O9" si="7">J7+M7/E7</f>
        <v>242.19822012872024</v>
      </c>
      <c r="P7" s="83"/>
      <c r="Q7" s="7">
        <f t="shared" ref="Q7:Q9" si="8">L7*3</f>
        <v>1346.0690846463906</v>
      </c>
      <c r="R7" s="16">
        <f t="shared" ref="R7:R9" si="9">L7+Q7/(D7-3)</f>
        <v>462.71611813304776</v>
      </c>
      <c r="S7" s="7">
        <f t="shared" ref="S7:S9" si="10">L7*6</f>
        <v>2692.1381692927812</v>
      </c>
      <c r="T7" s="10">
        <f t="shared" ref="T7:T9" si="11">L7+S7/(D7-6)</f>
        <v>477.64779638043905</v>
      </c>
      <c r="U7" s="10">
        <f t="shared" ref="U7:U9" si="12">L7*9</f>
        <v>4038.207253939172</v>
      </c>
      <c r="V7" s="10">
        <f t="shared" ref="V7:V9" si="13">L7+U7/(D7-9)</f>
        <v>493.57528866433665</v>
      </c>
      <c r="W7" s="7">
        <f t="shared" ref="W7:W9" si="14">K7*3+J7*9</f>
        <v>2681.591253939172</v>
      </c>
      <c r="X7" s="15">
        <f>L7+W7/E7</f>
        <v>478.2226382074515</v>
      </c>
      <c r="Y7" s="7">
        <f>K7*6+J7*9</f>
        <v>3359.899253939172</v>
      </c>
      <c r="Z7" s="11">
        <f>L7+Y7/E7</f>
        <v>485.69299063035896</v>
      </c>
      <c r="AA7" s="10">
        <f t="shared" ref="AA7:AA9" si="15">K7*9+J7*9</f>
        <v>4038.207253939172</v>
      </c>
      <c r="AB7" s="11">
        <f>AA7/D7+L7</f>
        <v>489.49340576733573</v>
      </c>
      <c r="AC7" s="8">
        <f t="shared" ref="AC7:AC9" si="16">K7*3</f>
        <v>678.30799999999999</v>
      </c>
      <c r="AD7" s="8">
        <f t="shared" ref="AD7:AD9" si="17">L7+AC7/E7</f>
        <v>456.16004730503766</v>
      </c>
      <c r="AE7" s="8">
        <f t="shared" ref="AE7:AE9" si="18">K7*6</f>
        <v>1356.616</v>
      </c>
      <c r="AF7" s="8">
        <f t="shared" ref="AF7:AF9" si="19">L7+AE7/E7</f>
        <v>463.63039972794519</v>
      </c>
      <c r="AG7" s="8">
        <f t="shared" ref="AG7:AG9" si="20">K7*9</f>
        <v>2034.924</v>
      </c>
      <c r="AH7" s="8">
        <f t="shared" ref="AH7:AH9" si="21">L7+AG7/E7</f>
        <v>471.10075215085266</v>
      </c>
    </row>
    <row r="8" spans="1:34" x14ac:dyDescent="0.25">
      <c r="A8" s="4">
        <v>43651</v>
      </c>
      <c r="B8" s="4">
        <v>52783</v>
      </c>
      <c r="C8" s="3">
        <v>300</v>
      </c>
      <c r="D8" s="5">
        <v>291</v>
      </c>
      <c r="E8" s="5">
        <v>286</v>
      </c>
      <c r="F8" s="6">
        <v>16776</v>
      </c>
      <c r="G8" s="6">
        <v>16152</v>
      </c>
      <c r="H8" s="6">
        <v>9.9</v>
      </c>
      <c r="I8" s="6">
        <f t="shared" si="2"/>
        <v>283</v>
      </c>
      <c r="J8" s="86">
        <f t="shared" si="3"/>
        <v>57.074204946996467</v>
      </c>
      <c r="K8" s="6">
        <f t="shared" si="4"/>
        <v>133.25399999999999</v>
      </c>
      <c r="L8" s="7">
        <f t="shared" si="5"/>
        <v>190.32820494699646</v>
      </c>
      <c r="M8" s="83">
        <f t="shared" si="6"/>
        <v>456.59363957597174</v>
      </c>
      <c r="N8" s="83"/>
      <c r="O8" s="87">
        <f t="shared" si="7"/>
        <v>58.670686204255112</v>
      </c>
      <c r="P8" s="83"/>
      <c r="Q8" s="7">
        <f t="shared" si="8"/>
        <v>570.98461484098937</v>
      </c>
      <c r="R8" s="16">
        <f t="shared" si="9"/>
        <v>192.31079041519433</v>
      </c>
      <c r="S8" s="7">
        <f t="shared" si="10"/>
        <v>1141.9692296819787</v>
      </c>
      <c r="T8" s="10">
        <f t="shared" si="11"/>
        <v>194.33511452482796</v>
      </c>
      <c r="U8" s="10">
        <f t="shared" si="12"/>
        <v>1712.9538445229682</v>
      </c>
      <c r="V8" s="10">
        <f t="shared" si="13"/>
        <v>196.40250936019848</v>
      </c>
      <c r="W8" s="7">
        <f t="shared" si="14"/>
        <v>913.4298445229681</v>
      </c>
      <c r="X8" s="15">
        <f>L8+W8/E8</f>
        <v>193.52201559218167</v>
      </c>
      <c r="Y8" s="7">
        <f>K8*6+J8*9</f>
        <v>1313.191844522968</v>
      </c>
      <c r="Z8" s="11">
        <f>L8+Y8/E8</f>
        <v>194.9197848229509</v>
      </c>
      <c r="AA8" s="10">
        <f t="shared" si="15"/>
        <v>1712.953844522968</v>
      </c>
      <c r="AB8" s="11">
        <f>AA8/D8+L8</f>
        <v>196.21464427525407</v>
      </c>
      <c r="AC8" s="8">
        <f t="shared" si="16"/>
        <v>399.76199999999994</v>
      </c>
      <c r="AD8" s="8">
        <f t="shared" si="17"/>
        <v>191.72597417776569</v>
      </c>
      <c r="AE8" s="8">
        <f t="shared" si="18"/>
        <v>799.52399999999989</v>
      </c>
      <c r="AF8" s="8">
        <f t="shared" si="19"/>
        <v>193.12374340853492</v>
      </c>
      <c r="AG8" s="8">
        <f t="shared" si="20"/>
        <v>1199.2859999999998</v>
      </c>
      <c r="AH8" s="8">
        <f t="shared" si="21"/>
        <v>194.52151263930415</v>
      </c>
    </row>
    <row r="9" spans="1:34" x14ac:dyDescent="0.25">
      <c r="A9" s="4">
        <v>43651</v>
      </c>
      <c r="B9" s="4">
        <v>52783</v>
      </c>
      <c r="C9" s="3">
        <v>300</v>
      </c>
      <c r="D9" s="5">
        <v>291</v>
      </c>
      <c r="E9" s="5">
        <v>286</v>
      </c>
      <c r="F9" s="6">
        <v>24900</v>
      </c>
      <c r="G9" s="6">
        <v>23990</v>
      </c>
      <c r="H9" s="6">
        <v>9.9</v>
      </c>
      <c r="I9" s="6">
        <f t="shared" si="2"/>
        <v>283</v>
      </c>
      <c r="J9" s="86">
        <f t="shared" si="3"/>
        <v>84.770318021201419</v>
      </c>
      <c r="K9" s="6">
        <f t="shared" si="4"/>
        <v>197.91750000000002</v>
      </c>
      <c r="L9" s="7">
        <f t="shared" si="5"/>
        <v>282.68781802120145</v>
      </c>
      <c r="M9" s="83">
        <f t="shared" si="6"/>
        <v>678.16254416961135</v>
      </c>
      <c r="N9" s="83"/>
      <c r="O9" s="87">
        <f t="shared" si="7"/>
        <v>87.141515728088166</v>
      </c>
      <c r="P9" s="83"/>
      <c r="Q9" s="7">
        <f t="shared" si="8"/>
        <v>848.06345406360435</v>
      </c>
      <c r="R9" s="16">
        <f t="shared" si="9"/>
        <v>285.63248279225564</v>
      </c>
      <c r="S9" s="7">
        <f t="shared" si="10"/>
        <v>1696.1269081272087</v>
      </c>
      <c r="T9" s="10">
        <f t="shared" si="11"/>
        <v>288.63914050585834</v>
      </c>
      <c r="U9" s="10">
        <f t="shared" si="12"/>
        <v>2544.1903621908132</v>
      </c>
      <c r="V9" s="10">
        <f t="shared" si="13"/>
        <v>291.70976966017599</v>
      </c>
      <c r="W9" s="7">
        <f t="shared" si="14"/>
        <v>1356.6853621908128</v>
      </c>
      <c r="X9" s="15">
        <f>L9+W9/E9</f>
        <v>287.43147313375675</v>
      </c>
      <c r="Y9" s="7">
        <f>K9*6+J9*9</f>
        <v>1950.4378621908129</v>
      </c>
      <c r="Z9" s="11">
        <f>L9+Y9/E9</f>
        <v>289.50753082606445</v>
      </c>
      <c r="AA9" s="10">
        <f t="shared" si="15"/>
        <v>2544.1903621908132</v>
      </c>
      <c r="AB9" s="11">
        <f>AA9/D9+L9</f>
        <v>291.43074022804274</v>
      </c>
      <c r="AC9" s="8">
        <f t="shared" si="16"/>
        <v>593.75250000000005</v>
      </c>
      <c r="AD9" s="8">
        <f t="shared" si="17"/>
        <v>284.76387571350915</v>
      </c>
      <c r="AE9" s="8">
        <f t="shared" si="18"/>
        <v>1187.5050000000001</v>
      </c>
      <c r="AF9" s="8">
        <f t="shared" si="19"/>
        <v>286.83993340581685</v>
      </c>
      <c r="AG9" s="8">
        <f t="shared" si="20"/>
        <v>1781.2575000000002</v>
      </c>
      <c r="AH9" s="8">
        <f t="shared" si="21"/>
        <v>288.91599109812455</v>
      </c>
    </row>
    <row r="10" spans="1:34" hidden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82"/>
      <c r="N10" s="82"/>
      <c r="O10" s="82"/>
      <c r="P10" s="82"/>
      <c r="Q10" s="7"/>
      <c r="R10" s="9"/>
      <c r="S10" s="3"/>
      <c r="T10" s="2"/>
      <c r="U10" s="2"/>
      <c r="V10" s="2"/>
      <c r="W10" s="7"/>
      <c r="X10" s="9"/>
      <c r="Y10" s="3"/>
      <c r="Z10" s="2"/>
      <c r="AA10" s="2"/>
      <c r="AB10" s="2"/>
    </row>
    <row r="11" spans="1:34" hidden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82"/>
      <c r="N11" s="82"/>
      <c r="O11" s="82"/>
      <c r="P11" s="82"/>
      <c r="Q11" s="7"/>
      <c r="R11" s="9"/>
      <c r="S11" s="3"/>
      <c r="T11" s="2"/>
      <c r="U11" s="2"/>
      <c r="V11" s="2"/>
      <c r="W11" s="7"/>
      <c r="X11" s="9"/>
      <c r="Y11" s="3"/>
      <c r="Z11" s="2"/>
      <c r="AA11" s="2"/>
      <c r="AB11" s="2"/>
    </row>
    <row r="12" spans="1:34" hidden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82"/>
      <c r="N12" s="82"/>
      <c r="O12" s="82"/>
      <c r="P12" s="82"/>
      <c r="Q12" s="3"/>
      <c r="R12" s="3"/>
      <c r="S12" s="3"/>
      <c r="T12" s="3"/>
      <c r="U12" s="3"/>
      <c r="V12" s="3"/>
      <c r="W12" s="7"/>
      <c r="X12" s="9"/>
      <c r="Y12" s="3"/>
      <c r="Z12" s="2"/>
      <c r="AA12" s="2"/>
      <c r="AB12" s="2"/>
    </row>
    <row r="13" spans="1:34" hidden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82"/>
      <c r="N13" s="82"/>
      <c r="O13" s="82"/>
      <c r="P13" s="82"/>
      <c r="Q13" s="3"/>
      <c r="R13" s="3"/>
      <c r="S13" s="3"/>
      <c r="T13" s="3"/>
      <c r="U13" s="3"/>
      <c r="V13" s="3"/>
      <c r="W13" s="7"/>
      <c r="X13" s="9"/>
      <c r="Y13" s="3"/>
      <c r="Z13" s="2"/>
      <c r="AA13" s="2"/>
      <c r="AB13" s="2"/>
    </row>
    <row r="14" spans="1:34" hidden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82"/>
      <c r="N14" s="82"/>
      <c r="O14" s="82"/>
      <c r="P14" s="82"/>
      <c r="Q14" s="3"/>
      <c r="R14" s="3"/>
      <c r="S14" s="3"/>
      <c r="T14" s="3"/>
      <c r="U14" s="3"/>
      <c r="V14" s="3"/>
      <c r="W14" s="3"/>
      <c r="X14" s="9"/>
      <c r="Y14" s="3"/>
      <c r="Z14" s="2"/>
      <c r="AA14" s="2"/>
      <c r="AB14" s="2"/>
    </row>
    <row r="15" spans="1:34" x14ac:dyDescent="0.25">
      <c r="J15" s="90">
        <f>SUM(J6:J9)</f>
        <v>560.33752191284157</v>
      </c>
      <c r="K15" s="91">
        <f>SUM(K6:K9)</f>
        <v>607.39066666666668</v>
      </c>
      <c r="L15" s="8">
        <f>SUM(L6:L9)</f>
        <v>1167.7281885795082</v>
      </c>
      <c r="M15" s="84"/>
      <c r="N15" s="84"/>
      <c r="O15" s="84"/>
      <c r="P15" s="84"/>
      <c r="Q15" s="8"/>
      <c r="R15" s="8">
        <f>SUM(R6:R9)</f>
        <v>1189.4949763328752</v>
      </c>
      <c r="S15" s="8"/>
      <c r="T15" s="8">
        <f>SUM(T6:T9)</f>
        <v>1212.3358272079386</v>
      </c>
      <c r="U15" s="8"/>
      <c r="V15" s="8">
        <f>SUM(V6:V9)</f>
        <v>1236.3468954021735</v>
      </c>
      <c r="X15" s="13">
        <v>1200</v>
      </c>
      <c r="Z15" s="12">
        <f>SUM(Z6:Z9)</f>
        <v>1224.167087803899</v>
      </c>
      <c r="AB15" s="12">
        <f>SUM(AB6:AB9)</f>
        <v>1231.5051960703915</v>
      </c>
    </row>
    <row r="17" spans="3:10" x14ac:dyDescent="0.25">
      <c r="I17" t="s">
        <v>158</v>
      </c>
      <c r="J17" t="s">
        <v>157</v>
      </c>
    </row>
    <row r="18" spans="3:10" ht="15.75" x14ac:dyDescent="0.25">
      <c r="C18" s="85">
        <v>4661900000</v>
      </c>
      <c r="F18" t="s">
        <v>155</v>
      </c>
      <c r="I18" s="12">
        <f>J15+K15</f>
        <v>1167.7281885795082</v>
      </c>
      <c r="J18" s="12">
        <f>K15*2</f>
        <v>1214.7813333333334</v>
      </c>
    </row>
    <row r="19" spans="3:10" ht="15.75" x14ac:dyDescent="0.25">
      <c r="C19" s="85">
        <v>20247933890</v>
      </c>
    </row>
    <row r="20" spans="3:10" ht="15.75" x14ac:dyDescent="0.25">
      <c r="C20" s="85">
        <v>16162923588</v>
      </c>
    </row>
    <row r="21" spans="3:10" ht="15.75" x14ac:dyDescent="0.25">
      <c r="C21" s="85">
        <v>23990033222</v>
      </c>
    </row>
    <row r="22" spans="3:10" x14ac:dyDescent="0.25">
      <c r="C22" s="8"/>
    </row>
    <row r="23" spans="3:10" x14ac:dyDescent="0.25">
      <c r="C23" s="54">
        <f>SUM(C18:C21)</f>
        <v>65062790700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D19"/>
  <sheetViews>
    <sheetView workbookViewId="0">
      <selection activeCell="B2" sqref="B2:D20"/>
    </sheetView>
  </sheetViews>
  <sheetFormatPr defaultRowHeight="15" x14ac:dyDescent="0.25"/>
  <cols>
    <col min="2" max="2" width="39.42578125" bestFit="1" customWidth="1"/>
    <col min="3" max="4" width="12" bestFit="1" customWidth="1"/>
  </cols>
  <sheetData>
    <row r="3" spans="2:4" x14ac:dyDescent="0.25">
      <c r="C3" t="s">
        <v>84</v>
      </c>
      <c r="D3" t="s">
        <v>127</v>
      </c>
    </row>
    <row r="4" spans="2:4" x14ac:dyDescent="0.25">
      <c r="B4" t="s">
        <v>94</v>
      </c>
      <c r="C4" s="56">
        <v>57139721949.600006</v>
      </c>
      <c r="D4" s="57">
        <v>3809314796.6400003</v>
      </c>
    </row>
    <row r="5" spans="2:4" x14ac:dyDescent="0.25">
      <c r="B5" t="s">
        <v>95</v>
      </c>
      <c r="C5" s="59"/>
      <c r="D5" s="60">
        <v>0</v>
      </c>
    </row>
    <row r="6" spans="2:4" x14ac:dyDescent="0.25">
      <c r="B6" t="s">
        <v>96</v>
      </c>
      <c r="C6" s="56">
        <v>57139721949.600006</v>
      </c>
      <c r="D6" s="57">
        <v>3809314796.6400003</v>
      </c>
    </row>
    <row r="7" spans="2:4" x14ac:dyDescent="0.25">
      <c r="B7" t="s">
        <v>97</v>
      </c>
      <c r="C7" s="56">
        <v>38553060739.200005</v>
      </c>
      <c r="D7" s="60">
        <v>2570204049.2800002</v>
      </c>
    </row>
    <row r="8" spans="2:4" x14ac:dyDescent="0.25">
      <c r="B8" t="s">
        <v>98</v>
      </c>
      <c r="C8" s="56">
        <v>10447348388</v>
      </c>
      <c r="D8" s="60">
        <v>1239110747.3600001</v>
      </c>
    </row>
    <row r="9" spans="2:4" x14ac:dyDescent="0.25">
      <c r="B9" t="s">
        <v>99</v>
      </c>
      <c r="C9" s="56">
        <v>1924843.2000000002</v>
      </c>
      <c r="D9" s="60">
        <v>0</v>
      </c>
    </row>
    <row r="10" spans="2:4" x14ac:dyDescent="0.25">
      <c r="B10" t="s">
        <v>100</v>
      </c>
      <c r="C10" s="56">
        <v>71883300.000000015</v>
      </c>
      <c r="D10" s="60">
        <v>4792220.0000000009</v>
      </c>
    </row>
    <row r="11" spans="2:4" x14ac:dyDescent="0.25">
      <c r="B11" t="s">
        <v>101</v>
      </c>
      <c r="C11" s="56">
        <v>2534264488.8000002</v>
      </c>
      <c r="D11" s="60">
        <v>168950965.92000002</v>
      </c>
    </row>
    <row r="12" spans="2:4" x14ac:dyDescent="0.25">
      <c r="B12" t="s">
        <v>77</v>
      </c>
      <c r="C12" s="56">
        <v>582187394.4000001</v>
      </c>
      <c r="D12" s="60">
        <v>38812492.960000008</v>
      </c>
    </row>
    <row r="13" spans="2:4" x14ac:dyDescent="0.25">
      <c r="B13" t="s">
        <v>102</v>
      </c>
      <c r="C13" s="56">
        <v>7260938048</v>
      </c>
      <c r="D13" s="60">
        <v>1065367561.4400001</v>
      </c>
    </row>
    <row r="14" spans="2:4" x14ac:dyDescent="0.25">
      <c r="B14" t="s">
        <v>103</v>
      </c>
      <c r="C14" s="56">
        <v>141077700.00000003</v>
      </c>
      <c r="D14" s="60">
        <v>0</v>
      </c>
    </row>
    <row r="15" spans="2:4" x14ac:dyDescent="0.25">
      <c r="B15" t="s">
        <v>104</v>
      </c>
      <c r="C15" s="56">
        <v>0</v>
      </c>
      <c r="D15" s="60">
        <v>0</v>
      </c>
    </row>
    <row r="16" spans="2:4" x14ac:dyDescent="0.25">
      <c r="B16" t="s">
        <v>105</v>
      </c>
      <c r="C16" s="56">
        <v>141077700.00000003</v>
      </c>
      <c r="D16" s="60">
        <v>0</v>
      </c>
    </row>
    <row r="17" spans="2:4" x14ac:dyDescent="0.25">
      <c r="B17" t="s">
        <v>106</v>
      </c>
      <c r="C17" s="56">
        <v>7402015748</v>
      </c>
      <c r="D17" s="60">
        <v>1065367561.4400001</v>
      </c>
    </row>
    <row r="18" spans="2:4" x14ac:dyDescent="0.25">
      <c r="B18" t="s">
        <v>107</v>
      </c>
      <c r="C18" s="56">
        <v>1480403149.6000001</v>
      </c>
      <c r="D18" s="60">
        <v>213073512.28800002</v>
      </c>
    </row>
    <row r="19" spans="2:4" x14ac:dyDescent="0.25">
      <c r="B19" t="s">
        <v>108</v>
      </c>
      <c r="C19" s="56">
        <v>5921612598.3999996</v>
      </c>
      <c r="D19" s="60">
        <v>852294049.15200007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18"/>
  <sheetViews>
    <sheetView workbookViewId="0">
      <selection activeCell="A4" sqref="A4:G18"/>
    </sheetView>
  </sheetViews>
  <sheetFormatPr defaultRowHeight="15" x14ac:dyDescent="0.25"/>
  <cols>
    <col min="1" max="1" width="18.42578125" customWidth="1"/>
    <col min="2" max="2" width="7.28515625" customWidth="1"/>
    <col min="3" max="3" width="11.140625" customWidth="1"/>
    <col min="4" max="4" width="7.7109375" customWidth="1"/>
    <col min="5" max="5" width="10.5703125" customWidth="1"/>
    <col min="6" max="6" width="9.7109375" customWidth="1"/>
    <col min="7" max="7" width="10.42578125" customWidth="1"/>
    <col min="8" max="8" width="4.140625" customWidth="1"/>
  </cols>
  <sheetData>
    <row r="4" spans="1:7" ht="28.5" customHeight="1" x14ac:dyDescent="0.25">
      <c r="A4" s="92" t="s">
        <v>17</v>
      </c>
      <c r="B4" s="93" t="s">
        <v>51</v>
      </c>
      <c r="C4" s="92" t="s">
        <v>40</v>
      </c>
      <c r="D4" s="92" t="s">
        <v>18</v>
      </c>
      <c r="E4" s="92" t="s">
        <v>133</v>
      </c>
      <c r="F4" s="92" t="s">
        <v>19</v>
      </c>
      <c r="G4" s="92" t="s">
        <v>48</v>
      </c>
    </row>
    <row r="5" spans="1:7" ht="106.5" customHeight="1" x14ac:dyDescent="0.25">
      <c r="A5" s="92"/>
      <c r="B5" s="94"/>
      <c r="C5" s="92"/>
      <c r="D5" s="92"/>
      <c r="E5" s="92"/>
      <c r="F5" s="92"/>
      <c r="G5" s="92"/>
    </row>
    <row r="6" spans="1:7" ht="37.5" customHeight="1" x14ac:dyDescent="0.25">
      <c r="A6" s="18" t="s">
        <v>21</v>
      </c>
      <c r="B6" s="18"/>
      <c r="C6" s="18"/>
      <c r="D6" s="18"/>
      <c r="E6" s="18"/>
      <c r="F6" s="18"/>
      <c r="G6" s="2"/>
    </row>
    <row r="7" spans="1:7" ht="84.75" customHeight="1" x14ac:dyDescent="0.25">
      <c r="A7" s="19" t="s">
        <v>22</v>
      </c>
      <c r="B7" s="67">
        <v>192</v>
      </c>
      <c r="C7" s="67">
        <f>B7*50%</f>
        <v>96</v>
      </c>
      <c r="D7" s="67">
        <f>C7-B7</f>
        <v>-96</v>
      </c>
      <c r="E7" s="67">
        <v>96</v>
      </c>
      <c r="F7" s="67">
        <f>E7-B7</f>
        <v>-96</v>
      </c>
      <c r="G7" s="67">
        <v>192</v>
      </c>
    </row>
    <row r="8" spans="1:7" ht="120" x14ac:dyDescent="0.25">
      <c r="A8" s="19" t="s">
        <v>23</v>
      </c>
      <c r="B8" s="67">
        <v>27.4</v>
      </c>
      <c r="C8" s="67">
        <v>27.4</v>
      </c>
      <c r="D8" s="67">
        <f t="shared" ref="D8:D9" si="0">C8-B8</f>
        <v>0</v>
      </c>
      <c r="E8" s="67">
        <v>27.4</v>
      </c>
      <c r="F8" s="67">
        <f t="shared" ref="F8:F10" si="1">E8-B8</f>
        <v>0</v>
      </c>
      <c r="G8" s="67">
        <v>27.4</v>
      </c>
    </row>
    <row r="9" spans="1:7" ht="45" x14ac:dyDescent="0.25">
      <c r="A9" s="19" t="s">
        <v>24</v>
      </c>
      <c r="B9" s="67">
        <v>1500</v>
      </c>
      <c r="C9" s="67">
        <v>0</v>
      </c>
      <c r="D9" s="67">
        <f t="shared" si="0"/>
        <v>-1500</v>
      </c>
      <c r="E9" s="67">
        <f>B9*30%</f>
        <v>450</v>
      </c>
      <c r="F9" s="67">
        <f t="shared" si="1"/>
        <v>-1050</v>
      </c>
      <c r="G9" s="67">
        <v>1200</v>
      </c>
    </row>
    <row r="10" spans="1:7" ht="90" x14ac:dyDescent="0.25">
      <c r="A10" s="19" t="s">
        <v>25</v>
      </c>
      <c r="B10" s="67">
        <f>'30.4'!C26/1000000</f>
        <v>315.84306753216003</v>
      </c>
      <c r="C10" s="67">
        <v>0</v>
      </c>
      <c r="D10" s="67"/>
      <c r="E10" s="67">
        <f>'30.4'!F26/1000000</f>
        <v>95.070707252460764</v>
      </c>
      <c r="F10" s="67">
        <f t="shared" si="1"/>
        <v>-220.77236027969929</v>
      </c>
      <c r="G10" s="67">
        <v>154</v>
      </c>
    </row>
    <row r="11" spans="1:7" ht="27" customHeight="1" x14ac:dyDescent="0.25">
      <c r="A11" s="21" t="s">
        <v>42</v>
      </c>
      <c r="B11" s="66">
        <f t="shared" ref="B11:G11" si="2">SUM(B7:B10)</f>
        <v>2035.2430675321602</v>
      </c>
      <c r="C11" s="66">
        <f t="shared" si="2"/>
        <v>123.4</v>
      </c>
      <c r="D11" s="66">
        <f t="shared" si="2"/>
        <v>-1596</v>
      </c>
      <c r="E11" s="66">
        <f t="shared" si="2"/>
        <v>668.47070725246078</v>
      </c>
      <c r="F11" s="66">
        <f t="shared" si="2"/>
        <v>-1366.7723602796993</v>
      </c>
      <c r="G11" s="66">
        <f t="shared" si="2"/>
        <v>1573.4</v>
      </c>
    </row>
    <row r="12" spans="1:7" ht="24.75" customHeight="1" x14ac:dyDescent="0.25">
      <c r="A12" s="19" t="s">
        <v>28</v>
      </c>
      <c r="B12" s="67">
        <v>100</v>
      </c>
      <c r="C12" s="67">
        <v>50</v>
      </c>
      <c r="D12" s="67">
        <f>C12-B12</f>
        <v>-50</v>
      </c>
      <c r="E12" s="67">
        <v>100</v>
      </c>
      <c r="F12" s="67">
        <v>0</v>
      </c>
      <c r="G12" s="67">
        <v>100</v>
      </c>
    </row>
    <row r="13" spans="1:7" ht="30.75" customHeight="1" x14ac:dyDescent="0.25">
      <c r="A13" s="19" t="s">
        <v>30</v>
      </c>
      <c r="B13" s="67">
        <v>153.6</v>
      </c>
      <c r="C13" s="67">
        <v>153.6</v>
      </c>
      <c r="D13" s="67">
        <f>C13-B13</f>
        <v>0</v>
      </c>
      <c r="E13" s="67">
        <v>153.6</v>
      </c>
      <c r="F13" s="67">
        <v>0</v>
      </c>
      <c r="G13" s="67">
        <v>153.6</v>
      </c>
    </row>
    <row r="14" spans="1:7" ht="33" customHeight="1" x14ac:dyDescent="0.25">
      <c r="A14" s="19" t="s">
        <v>32</v>
      </c>
      <c r="B14" s="67">
        <v>38.5</v>
      </c>
      <c r="C14" s="67">
        <v>38.5</v>
      </c>
      <c r="D14" s="67">
        <v>0</v>
      </c>
      <c r="E14" s="67">
        <v>38.5</v>
      </c>
      <c r="F14" s="67">
        <v>0</v>
      </c>
      <c r="G14" s="67">
        <v>38.5</v>
      </c>
    </row>
    <row r="15" spans="1:7" ht="32.25" customHeight="1" x14ac:dyDescent="0.25">
      <c r="A15" s="19" t="s">
        <v>34</v>
      </c>
      <c r="B15" s="67">
        <v>1158</v>
      </c>
      <c r="C15" s="67">
        <v>1158</v>
      </c>
      <c r="D15" s="67"/>
      <c r="E15" s="67">
        <v>1158</v>
      </c>
      <c r="F15" s="67"/>
      <c r="G15" s="67">
        <v>1179</v>
      </c>
    </row>
    <row r="16" spans="1:7" s="17" customFormat="1" ht="30" customHeight="1" x14ac:dyDescent="0.25">
      <c r="A16" s="21" t="s">
        <v>44</v>
      </c>
      <c r="B16" s="66">
        <f>SUM(B12:B15)</f>
        <v>1450.1</v>
      </c>
      <c r="C16" s="66">
        <f>SUM(C12:C15)</f>
        <v>1400.1</v>
      </c>
      <c r="D16" s="66"/>
      <c r="E16" s="66">
        <f>SUM(E12:E15)</f>
        <v>1450.1</v>
      </c>
      <c r="F16" s="66"/>
      <c r="G16" s="66">
        <f>SUM(G12:G15)</f>
        <v>1471.1</v>
      </c>
    </row>
    <row r="17" spans="1:7" ht="30" customHeight="1" x14ac:dyDescent="0.25">
      <c r="A17" s="21" t="s">
        <v>43</v>
      </c>
      <c r="B17" s="66">
        <f>B11-B16</f>
        <v>585.14306753216033</v>
      </c>
      <c r="C17" s="67">
        <f>C11-C16</f>
        <v>-1276.6999999999998</v>
      </c>
      <c r="D17" s="67"/>
      <c r="E17" s="67">
        <f>E11-E16</f>
        <v>-781.62929274753913</v>
      </c>
      <c r="F17" s="67"/>
      <c r="G17" s="67">
        <f>G11-G16</f>
        <v>102.30000000000018</v>
      </c>
    </row>
    <row r="18" spans="1:7" ht="126.75" customHeight="1" x14ac:dyDescent="0.25">
      <c r="A18" s="18" t="s">
        <v>37</v>
      </c>
      <c r="B18" s="18" t="s">
        <v>38</v>
      </c>
      <c r="C18" s="20" t="s">
        <v>39</v>
      </c>
      <c r="D18" s="20"/>
      <c r="E18" s="20" t="s">
        <v>49</v>
      </c>
      <c r="F18" s="20"/>
      <c r="G18" s="20" t="s">
        <v>50</v>
      </c>
    </row>
  </sheetData>
  <mergeCells count="7">
    <mergeCell ref="G4:G5"/>
    <mergeCell ref="B4:B5"/>
    <mergeCell ref="A4:A5"/>
    <mergeCell ref="D4:D5"/>
    <mergeCell ref="E4:E5"/>
    <mergeCell ref="F4:F5"/>
    <mergeCell ref="C4:C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18"/>
  <sheetViews>
    <sheetView topLeftCell="A14" workbookViewId="0">
      <selection activeCell="H18" sqref="F18:H19"/>
    </sheetView>
  </sheetViews>
  <sheetFormatPr defaultRowHeight="15" x14ac:dyDescent="0.25"/>
  <cols>
    <col min="1" max="1" width="7.28515625" style="22" customWidth="1"/>
    <col min="2" max="2" width="16.140625" customWidth="1"/>
    <col min="3" max="3" width="8.7109375" customWidth="1"/>
    <col min="4" max="4" width="11.7109375" customWidth="1"/>
    <col min="5" max="5" width="9.42578125" customWidth="1"/>
    <col min="6" max="6" width="10.140625" bestFit="1" customWidth="1"/>
    <col min="7" max="8" width="9.85546875" customWidth="1"/>
    <col min="9" max="9" width="9.140625" customWidth="1"/>
  </cols>
  <sheetData>
    <row r="4" spans="1:10" ht="28.5" customHeight="1" x14ac:dyDescent="0.25">
      <c r="A4" s="95" t="s">
        <v>134</v>
      </c>
      <c r="B4" s="92" t="s">
        <v>17</v>
      </c>
      <c r="C4" s="93" t="s">
        <v>51</v>
      </c>
      <c r="D4" s="92" t="s">
        <v>52</v>
      </c>
      <c r="E4" s="92" t="s">
        <v>18</v>
      </c>
      <c r="F4" s="92" t="s">
        <v>53</v>
      </c>
      <c r="G4" s="92" t="s">
        <v>19</v>
      </c>
      <c r="H4" s="88"/>
      <c r="I4" s="92" t="s">
        <v>54</v>
      </c>
      <c r="J4" s="92" t="s">
        <v>41</v>
      </c>
    </row>
    <row r="5" spans="1:10" ht="106.5" customHeight="1" x14ac:dyDescent="0.25">
      <c r="A5" s="95"/>
      <c r="B5" s="92"/>
      <c r="C5" s="94"/>
      <c r="D5" s="92"/>
      <c r="E5" s="92"/>
      <c r="F5" s="92"/>
      <c r="G5" s="92"/>
      <c r="H5" s="88"/>
      <c r="I5" s="92"/>
      <c r="J5" s="92"/>
    </row>
    <row r="6" spans="1:10" ht="37.5" customHeight="1" x14ac:dyDescent="0.25">
      <c r="A6" s="23" t="s">
        <v>20</v>
      </c>
      <c r="B6" s="18" t="s">
        <v>21</v>
      </c>
      <c r="C6" s="18"/>
      <c r="D6" s="18"/>
      <c r="E6" s="18"/>
      <c r="F6" s="18"/>
      <c r="G6" s="18"/>
      <c r="H6" s="18"/>
      <c r="I6" s="2"/>
      <c r="J6" s="2"/>
    </row>
    <row r="7" spans="1:10" ht="84.75" customHeight="1" x14ac:dyDescent="0.25">
      <c r="A7" s="24">
        <v>1.1000000000000001</v>
      </c>
      <c r="B7" s="19" t="s">
        <v>22</v>
      </c>
      <c r="C7" s="67">
        <v>192</v>
      </c>
      <c r="D7" s="67">
        <f>C7*50%</f>
        <v>96</v>
      </c>
      <c r="E7" s="67">
        <f>D7-C7</f>
        <v>-96</v>
      </c>
      <c r="F7" s="67">
        <v>96</v>
      </c>
      <c r="G7" s="67">
        <f>F7-C7</f>
        <v>-96</v>
      </c>
      <c r="H7" s="67">
        <v>192</v>
      </c>
      <c r="I7" s="67">
        <v>192</v>
      </c>
      <c r="J7" s="20">
        <f>I7-C7</f>
        <v>0</v>
      </c>
    </row>
    <row r="8" spans="1:10" ht="135" x14ac:dyDescent="0.25">
      <c r="A8" s="24">
        <v>1.2</v>
      </c>
      <c r="B8" s="19" t="s">
        <v>23</v>
      </c>
      <c r="C8" s="67">
        <v>27.4</v>
      </c>
      <c r="D8" s="67">
        <v>27.4</v>
      </c>
      <c r="E8" s="67">
        <f t="shared" ref="E8:E10" si="0">D8-C8</f>
        <v>0</v>
      </c>
      <c r="F8" s="67">
        <v>27.4</v>
      </c>
      <c r="G8" s="67">
        <f>F8-C8</f>
        <v>0</v>
      </c>
      <c r="H8" s="67">
        <v>27</v>
      </c>
      <c r="I8" s="67">
        <v>27.4</v>
      </c>
      <c r="J8" s="20">
        <v>0</v>
      </c>
    </row>
    <row r="9" spans="1:10" ht="45" x14ac:dyDescent="0.25">
      <c r="A9" s="24">
        <v>1.3</v>
      </c>
      <c r="B9" s="19" t="s">
        <v>24</v>
      </c>
      <c r="C9" s="67">
        <v>1500</v>
      </c>
      <c r="D9" s="67">
        <v>0</v>
      </c>
      <c r="E9" s="67">
        <f t="shared" si="0"/>
        <v>-1500</v>
      </c>
      <c r="F9" s="67">
        <f>C9*30%</f>
        <v>450</v>
      </c>
      <c r="G9" s="67">
        <f>F9-C9</f>
        <v>-1050</v>
      </c>
      <c r="H9" s="67">
        <f>C9*50%</f>
        <v>750</v>
      </c>
      <c r="I9" s="67">
        <f>C9*0.6</f>
        <v>900</v>
      </c>
      <c r="J9" s="20">
        <f>I9-C9</f>
        <v>-600</v>
      </c>
    </row>
    <row r="10" spans="1:10" ht="105" x14ac:dyDescent="0.25">
      <c r="A10" s="24">
        <v>1.4</v>
      </c>
      <c r="B10" s="19" t="s">
        <v>25</v>
      </c>
      <c r="C10" s="67">
        <f>'30.6'!D25/1000000</f>
        <v>345.3949530694656</v>
      </c>
      <c r="D10" s="67">
        <v>0</v>
      </c>
      <c r="E10" s="67">
        <f t="shared" si="0"/>
        <v>-345.3949530694656</v>
      </c>
      <c r="F10" s="67">
        <f>'30.6'!G25/1000000</f>
        <v>97.970613173959677</v>
      </c>
      <c r="G10" s="67">
        <f>F10-C10</f>
        <v>-247.42433989550591</v>
      </c>
      <c r="H10" s="89">
        <v>239.85</v>
      </c>
      <c r="I10" s="89">
        <v>292.62</v>
      </c>
      <c r="J10" s="20">
        <f>I10-C10</f>
        <v>-52.774953069465596</v>
      </c>
    </row>
    <row r="11" spans="1:10" ht="27" customHeight="1" x14ac:dyDescent="0.25">
      <c r="A11" s="23" t="s">
        <v>26</v>
      </c>
      <c r="B11" s="21" t="s">
        <v>42</v>
      </c>
      <c r="C11" s="66">
        <f t="shared" ref="C11:J11" si="1">SUM(C7:C10)</f>
        <v>2064.7949530694659</v>
      </c>
      <c r="D11" s="66">
        <f t="shared" si="1"/>
        <v>123.4</v>
      </c>
      <c r="E11" s="66">
        <f t="shared" si="1"/>
        <v>-1941.3949530694656</v>
      </c>
      <c r="F11" s="66">
        <f t="shared" si="1"/>
        <v>671.37061317395967</v>
      </c>
      <c r="G11" s="66">
        <f t="shared" si="1"/>
        <v>-1393.4243398955059</v>
      </c>
      <c r="H11" s="66">
        <f t="shared" si="1"/>
        <v>1208.8499999999999</v>
      </c>
      <c r="I11" s="66">
        <f t="shared" si="1"/>
        <v>1412.02</v>
      </c>
      <c r="J11" s="64">
        <f t="shared" si="1"/>
        <v>-652.7749530694656</v>
      </c>
    </row>
    <row r="12" spans="1:10" ht="24.75" customHeight="1" x14ac:dyDescent="0.25">
      <c r="A12" s="23" t="s">
        <v>27</v>
      </c>
      <c r="B12" s="19" t="s">
        <v>28</v>
      </c>
      <c r="C12" s="67">
        <v>100</v>
      </c>
      <c r="D12" s="67">
        <v>20</v>
      </c>
      <c r="E12" s="67">
        <f>D12-C12</f>
        <v>-80</v>
      </c>
      <c r="F12" s="67">
        <v>20</v>
      </c>
      <c r="G12" s="67">
        <v>0</v>
      </c>
      <c r="H12" s="67">
        <v>50</v>
      </c>
      <c r="I12" s="67">
        <v>52</v>
      </c>
      <c r="J12" s="65">
        <v>0</v>
      </c>
    </row>
    <row r="13" spans="1:10" ht="48" customHeight="1" x14ac:dyDescent="0.25">
      <c r="A13" s="23" t="s">
        <v>29</v>
      </c>
      <c r="B13" s="19" t="s">
        <v>30</v>
      </c>
      <c r="C13" s="67">
        <v>153.6</v>
      </c>
      <c r="D13" s="67">
        <v>153.6</v>
      </c>
      <c r="E13" s="67">
        <f>D13-C13</f>
        <v>0</v>
      </c>
      <c r="F13" s="67">
        <v>153.6</v>
      </c>
      <c r="G13" s="67">
        <v>0</v>
      </c>
      <c r="H13" s="67">
        <f>F13</f>
        <v>153.6</v>
      </c>
      <c r="I13" s="67">
        <v>153.6</v>
      </c>
      <c r="J13" s="65">
        <v>0</v>
      </c>
    </row>
    <row r="14" spans="1:10" ht="33" customHeight="1" x14ac:dyDescent="0.25">
      <c r="A14" s="23" t="s">
        <v>31</v>
      </c>
      <c r="B14" s="19" t="s">
        <v>32</v>
      </c>
      <c r="C14" s="67">
        <v>38.5</v>
      </c>
      <c r="D14" s="67">
        <v>38.5</v>
      </c>
      <c r="E14" s="67">
        <v>0</v>
      </c>
      <c r="F14" s="67">
        <v>38.5</v>
      </c>
      <c r="G14" s="67">
        <v>0</v>
      </c>
      <c r="H14" s="67">
        <v>39</v>
      </c>
      <c r="I14" s="67">
        <v>38.5</v>
      </c>
      <c r="J14" s="65"/>
    </row>
    <row r="15" spans="1:10" ht="32.25" customHeight="1" x14ac:dyDescent="0.25">
      <c r="A15" s="23" t="s">
        <v>33</v>
      </c>
      <c r="B15" s="19" t="s">
        <v>34</v>
      </c>
      <c r="C15" s="67">
        <v>1158</v>
      </c>
      <c r="D15" s="67">
        <v>1158</v>
      </c>
      <c r="E15" s="67"/>
      <c r="F15" s="67">
        <v>1158</v>
      </c>
      <c r="G15" s="67"/>
      <c r="H15" s="67">
        <v>1215</v>
      </c>
      <c r="I15" s="67">
        <f>'A Dũng'!I18</f>
        <v>1167.7281885795082</v>
      </c>
      <c r="J15" s="65"/>
    </row>
    <row r="16" spans="1:10" s="17" customFormat="1" ht="30" customHeight="1" x14ac:dyDescent="0.25">
      <c r="A16" s="23" t="s">
        <v>35</v>
      </c>
      <c r="B16" s="21" t="s">
        <v>44</v>
      </c>
      <c r="C16" s="66">
        <f>SUM(C12:C15)</f>
        <v>1450.1</v>
      </c>
      <c r="D16" s="66">
        <f>SUM(D12:D15)</f>
        <v>1370.1</v>
      </c>
      <c r="E16" s="66"/>
      <c r="F16" s="66">
        <f>SUM(F12:F15)</f>
        <v>1370.1</v>
      </c>
      <c r="G16" s="66">
        <f t="shared" ref="G16:H16" si="2">SUM(G12:G15)</f>
        <v>0</v>
      </c>
      <c r="H16" s="66">
        <f t="shared" si="2"/>
        <v>1457.6</v>
      </c>
      <c r="I16" s="66">
        <f>SUM(I12:I15)</f>
        <v>1411.8281885795082</v>
      </c>
      <c r="J16" s="64"/>
    </row>
    <row r="17" spans="1:10" ht="30" customHeight="1" x14ac:dyDescent="0.25">
      <c r="A17" s="23"/>
      <c r="B17" s="21" t="s">
        <v>43</v>
      </c>
      <c r="C17" s="66">
        <f>C11-C16</f>
        <v>614.69495306946601</v>
      </c>
      <c r="D17" s="67">
        <f>D11-D16</f>
        <v>-1246.6999999999998</v>
      </c>
      <c r="E17" s="67"/>
      <c r="F17" s="67">
        <f>F11-F16</f>
        <v>-698.72938682604024</v>
      </c>
      <c r="G17" s="67">
        <f t="shared" ref="G17:H17" si="3">G11-G16</f>
        <v>-1393.4243398955059</v>
      </c>
      <c r="H17" s="67">
        <f t="shared" si="3"/>
        <v>-248.75</v>
      </c>
      <c r="I17" s="67">
        <f>I11-I16</f>
        <v>0.19181142049183109</v>
      </c>
      <c r="J17" s="65"/>
    </row>
    <row r="18" spans="1:10" ht="135" x14ac:dyDescent="0.25">
      <c r="A18" s="23" t="s">
        <v>36</v>
      </c>
      <c r="B18" s="18" t="s">
        <v>37</v>
      </c>
      <c r="C18" s="18" t="s">
        <v>38</v>
      </c>
      <c r="D18" s="20" t="s">
        <v>39</v>
      </c>
      <c r="E18" s="20"/>
      <c r="F18" s="20" t="s">
        <v>49</v>
      </c>
      <c r="G18" s="20"/>
      <c r="H18" s="20"/>
      <c r="I18" s="20" t="s">
        <v>55</v>
      </c>
      <c r="J18" s="20"/>
    </row>
  </sheetData>
  <mergeCells count="9">
    <mergeCell ref="G4:G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J18"/>
  <sheetViews>
    <sheetView topLeftCell="A8" workbookViewId="0">
      <selection activeCell="I9" sqref="I9"/>
    </sheetView>
  </sheetViews>
  <sheetFormatPr defaultRowHeight="15" x14ac:dyDescent="0.25"/>
  <cols>
    <col min="1" max="1" width="7.28515625" style="22" customWidth="1"/>
    <col min="2" max="2" width="16.140625" customWidth="1"/>
    <col min="3" max="3" width="7.28515625" customWidth="1"/>
    <col min="4" max="4" width="7.42578125" customWidth="1"/>
    <col min="5" max="5" width="9.28515625" customWidth="1"/>
    <col min="7" max="8" width="9.140625" customWidth="1"/>
    <col min="9" max="9" width="10.7109375" customWidth="1"/>
  </cols>
  <sheetData>
    <row r="4" spans="1:10" ht="28.5" customHeight="1" x14ac:dyDescent="0.25">
      <c r="A4" s="95" t="s">
        <v>16</v>
      </c>
      <c r="B4" s="92" t="s">
        <v>17</v>
      </c>
      <c r="C4" s="93" t="s">
        <v>51</v>
      </c>
      <c r="D4" s="92" t="s">
        <v>56</v>
      </c>
      <c r="E4" s="92" t="s">
        <v>18</v>
      </c>
      <c r="F4" s="92" t="s">
        <v>57</v>
      </c>
      <c r="G4" s="92" t="s">
        <v>19</v>
      </c>
      <c r="H4" s="88"/>
      <c r="I4" s="92" t="s">
        <v>54</v>
      </c>
      <c r="J4" s="92" t="s">
        <v>41</v>
      </c>
    </row>
    <row r="5" spans="1:10" ht="117.75" customHeight="1" x14ac:dyDescent="0.25">
      <c r="A5" s="95"/>
      <c r="B5" s="92"/>
      <c r="C5" s="94"/>
      <c r="D5" s="92"/>
      <c r="E5" s="92"/>
      <c r="F5" s="92"/>
      <c r="G5" s="92"/>
      <c r="H5" s="88"/>
      <c r="I5" s="92"/>
      <c r="J5" s="92"/>
    </row>
    <row r="6" spans="1:10" ht="37.5" customHeight="1" x14ac:dyDescent="0.25">
      <c r="A6" s="23" t="s">
        <v>20</v>
      </c>
      <c r="B6" s="18" t="s">
        <v>21</v>
      </c>
      <c r="C6" s="18"/>
      <c r="D6" s="18"/>
      <c r="E6" s="18"/>
      <c r="F6" s="18"/>
      <c r="G6" s="18"/>
      <c r="H6" s="18"/>
      <c r="I6" s="2"/>
      <c r="J6" s="2"/>
    </row>
    <row r="7" spans="1:10" ht="84.75" customHeight="1" x14ac:dyDescent="0.25">
      <c r="A7" s="24">
        <v>1.1000000000000001</v>
      </c>
      <c r="B7" s="19" t="s">
        <v>22</v>
      </c>
      <c r="C7" s="67">
        <v>192</v>
      </c>
      <c r="D7" s="67">
        <f>C7*50%</f>
        <v>96</v>
      </c>
      <c r="E7" s="67">
        <f>D7-C7</f>
        <v>-96</v>
      </c>
      <c r="F7" s="67">
        <v>96</v>
      </c>
      <c r="G7" s="67">
        <f>F7-C7</f>
        <v>-96</v>
      </c>
      <c r="H7" s="67">
        <f>C7</f>
        <v>192</v>
      </c>
      <c r="I7" s="67">
        <v>192</v>
      </c>
      <c r="J7" s="67">
        <f>I7-C7</f>
        <v>0</v>
      </c>
    </row>
    <row r="8" spans="1:10" ht="135" x14ac:dyDescent="0.25">
      <c r="A8" s="24">
        <v>1.2</v>
      </c>
      <c r="B8" s="19" t="s">
        <v>23</v>
      </c>
      <c r="C8" s="67">
        <v>27.4</v>
      </c>
      <c r="D8" s="67">
        <v>27.4</v>
      </c>
      <c r="E8" s="67">
        <f t="shared" ref="E8:E10" si="0">D8-C8</f>
        <v>0</v>
      </c>
      <c r="F8" s="67">
        <v>27.4</v>
      </c>
      <c r="G8" s="67">
        <f>F8-C8</f>
        <v>0</v>
      </c>
      <c r="H8" s="67">
        <f>C8</f>
        <v>27.4</v>
      </c>
      <c r="I8" s="67">
        <v>27.4</v>
      </c>
      <c r="J8" s="67">
        <v>0</v>
      </c>
    </row>
    <row r="9" spans="1:10" ht="45" x14ac:dyDescent="0.25">
      <c r="A9" s="24">
        <v>1.3</v>
      </c>
      <c r="B9" s="19" t="s">
        <v>24</v>
      </c>
      <c r="C9" s="67">
        <v>1500</v>
      </c>
      <c r="D9" s="67">
        <v>0</v>
      </c>
      <c r="E9" s="67">
        <f t="shared" si="0"/>
        <v>-1500</v>
      </c>
      <c r="F9" s="67">
        <f>C9*30%</f>
        <v>450</v>
      </c>
      <c r="G9" s="67">
        <f>F9-C9</f>
        <v>-1050</v>
      </c>
      <c r="H9" s="67">
        <f>C9*0.5</f>
        <v>750</v>
      </c>
      <c r="I9" s="67">
        <f>C9*0.6</f>
        <v>900</v>
      </c>
      <c r="J9" s="67">
        <f>I9-C9</f>
        <v>-600</v>
      </c>
    </row>
    <row r="10" spans="1:10" ht="105" x14ac:dyDescent="0.25">
      <c r="A10" s="24">
        <v>1.4</v>
      </c>
      <c r="B10" s="19" t="s">
        <v>25</v>
      </c>
      <c r="C10" s="67">
        <f>'30.9'!C25/1000000</f>
        <v>349.58329774886403</v>
      </c>
      <c r="D10" s="67">
        <v>0</v>
      </c>
      <c r="E10" s="67">
        <f t="shared" si="0"/>
        <v>-349.58329774886403</v>
      </c>
      <c r="F10" s="67">
        <v>99.2</v>
      </c>
      <c r="G10" s="67">
        <f>F10-C10</f>
        <v>-250.38329774886404</v>
      </c>
      <c r="H10" s="89">
        <v>242.78</v>
      </c>
      <c r="I10" s="89">
        <v>296.18</v>
      </c>
      <c r="J10" s="67">
        <f>I10-C10</f>
        <v>-53.40329774886402</v>
      </c>
    </row>
    <row r="11" spans="1:10" ht="27" customHeight="1" x14ac:dyDescent="0.25">
      <c r="A11" s="23" t="s">
        <v>26</v>
      </c>
      <c r="B11" s="21" t="s">
        <v>42</v>
      </c>
      <c r="C11" s="66">
        <f t="shared" ref="C11:J11" si="1">SUM(C7:C10)</f>
        <v>2068.9832977488641</v>
      </c>
      <c r="D11" s="66">
        <f t="shared" si="1"/>
        <v>123.4</v>
      </c>
      <c r="E11" s="66">
        <f t="shared" si="1"/>
        <v>-1945.583297748864</v>
      </c>
      <c r="F11" s="66">
        <f t="shared" si="1"/>
        <v>672.6</v>
      </c>
      <c r="G11" s="66">
        <f t="shared" si="1"/>
        <v>-1396.3832977488642</v>
      </c>
      <c r="H11" s="66">
        <f t="shared" si="1"/>
        <v>1212.18</v>
      </c>
      <c r="I11" s="66">
        <f t="shared" si="1"/>
        <v>1415.5800000000002</v>
      </c>
      <c r="J11" s="66">
        <f t="shared" si="1"/>
        <v>-653.40329774886402</v>
      </c>
    </row>
    <row r="12" spans="1:10" ht="24.75" customHeight="1" x14ac:dyDescent="0.25">
      <c r="A12" s="23" t="s">
        <v>27</v>
      </c>
      <c r="B12" s="19" t="s">
        <v>28</v>
      </c>
      <c r="C12" s="67">
        <v>100</v>
      </c>
      <c r="D12" s="67">
        <v>50</v>
      </c>
      <c r="E12" s="67">
        <f>D12-C12</f>
        <v>-50</v>
      </c>
      <c r="F12" s="67">
        <v>50</v>
      </c>
      <c r="G12" s="67">
        <v>0</v>
      </c>
      <c r="H12" s="67">
        <v>50</v>
      </c>
      <c r="I12" s="67">
        <v>56</v>
      </c>
      <c r="J12" s="67">
        <v>0</v>
      </c>
    </row>
    <row r="13" spans="1:10" ht="30.75" customHeight="1" x14ac:dyDescent="0.25">
      <c r="A13" s="23" t="s">
        <v>29</v>
      </c>
      <c r="B13" s="19" t="s">
        <v>30</v>
      </c>
      <c r="C13" s="67">
        <v>153.6</v>
      </c>
      <c r="D13" s="67">
        <v>153.6</v>
      </c>
      <c r="E13" s="67">
        <f>D13-C13</f>
        <v>0</v>
      </c>
      <c r="F13" s="67">
        <v>153.6</v>
      </c>
      <c r="G13" s="67">
        <v>0</v>
      </c>
      <c r="H13" s="67">
        <f>F13</f>
        <v>153.6</v>
      </c>
      <c r="I13" s="67">
        <v>153.6</v>
      </c>
      <c r="J13" s="67">
        <v>0</v>
      </c>
    </row>
    <row r="14" spans="1:10" ht="33" customHeight="1" x14ac:dyDescent="0.25">
      <c r="A14" s="23" t="s">
        <v>31</v>
      </c>
      <c r="B14" s="19" t="s">
        <v>32</v>
      </c>
      <c r="C14" s="67">
        <v>38.5</v>
      </c>
      <c r="D14" s="67">
        <v>38.5</v>
      </c>
      <c r="E14" s="67">
        <v>0</v>
      </c>
      <c r="F14" s="67">
        <v>38.5</v>
      </c>
      <c r="G14" s="67">
        <v>0</v>
      </c>
      <c r="H14" s="67">
        <f>F14</f>
        <v>38.5</v>
      </c>
      <c r="I14" s="67">
        <v>38.5</v>
      </c>
      <c r="J14" s="67"/>
    </row>
    <row r="15" spans="1:10" ht="32.25" customHeight="1" x14ac:dyDescent="0.25">
      <c r="A15" s="23" t="s">
        <v>33</v>
      </c>
      <c r="B15" s="19" t="s">
        <v>34</v>
      </c>
      <c r="C15" s="67">
        <v>1158</v>
      </c>
      <c r="D15" s="67">
        <v>1158</v>
      </c>
      <c r="E15" s="67"/>
      <c r="F15" s="67">
        <v>1158</v>
      </c>
      <c r="G15" s="67"/>
      <c r="H15" s="67">
        <f>'A Dũng'!J18</f>
        <v>1214.7813333333334</v>
      </c>
      <c r="I15" s="67">
        <f>'A Dũng'!I18</f>
        <v>1167.7281885795082</v>
      </c>
      <c r="J15" s="67"/>
    </row>
    <row r="16" spans="1:10" s="17" customFormat="1" ht="30" customHeight="1" x14ac:dyDescent="0.25">
      <c r="A16" s="23" t="s">
        <v>35</v>
      </c>
      <c r="B16" s="21" t="s">
        <v>44</v>
      </c>
      <c r="C16" s="66">
        <f>SUM(C12:C15)</f>
        <v>1450.1</v>
      </c>
      <c r="D16" s="66">
        <f>SUM(D12:D15)</f>
        <v>1400.1</v>
      </c>
      <c r="E16" s="66"/>
      <c r="F16" s="66">
        <f>SUM(F12:F15)</f>
        <v>1400.1</v>
      </c>
      <c r="G16" s="66">
        <f t="shared" ref="G16:H16" si="2">SUM(G12:G15)</f>
        <v>0</v>
      </c>
      <c r="H16" s="66">
        <f t="shared" si="2"/>
        <v>1456.8813333333333</v>
      </c>
      <c r="I16" s="66">
        <f>SUM(I12:I15)</f>
        <v>1415.8281885795082</v>
      </c>
      <c r="J16" s="66"/>
    </row>
    <row r="17" spans="1:10" ht="30" customHeight="1" x14ac:dyDescent="0.25">
      <c r="A17" s="23"/>
      <c r="B17" s="21" t="s">
        <v>43</v>
      </c>
      <c r="C17" s="66">
        <f>C11-C16</f>
        <v>618.88329774886415</v>
      </c>
      <c r="D17" s="67">
        <f>D11-D16</f>
        <v>-1276.6999999999998</v>
      </c>
      <c r="E17" s="67"/>
      <c r="F17" s="67">
        <f>F11-F16</f>
        <v>-727.49999999999989</v>
      </c>
      <c r="G17" s="67">
        <f t="shared" ref="G17:H17" si="3">G11-G16</f>
        <v>-1396.3832977488642</v>
      </c>
      <c r="H17" s="67">
        <f t="shared" si="3"/>
        <v>-244.7013333333332</v>
      </c>
      <c r="I17" s="67">
        <f>I11-I16</f>
        <v>-0.24818857950799611</v>
      </c>
      <c r="J17" s="67"/>
    </row>
    <row r="18" spans="1:10" ht="151.5" customHeight="1" x14ac:dyDescent="0.25">
      <c r="A18" s="23" t="s">
        <v>36</v>
      </c>
      <c r="B18" s="18" t="s">
        <v>37</v>
      </c>
      <c r="C18" s="18" t="s">
        <v>38</v>
      </c>
      <c r="D18" s="20" t="s">
        <v>39</v>
      </c>
      <c r="E18" s="20"/>
      <c r="F18" s="20" t="s">
        <v>49</v>
      </c>
      <c r="G18" s="20"/>
      <c r="H18" s="20"/>
      <c r="I18" s="20" t="s">
        <v>55</v>
      </c>
      <c r="J18" s="20"/>
    </row>
  </sheetData>
  <mergeCells count="9">
    <mergeCell ref="G4:G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7"/>
  <sheetViews>
    <sheetView topLeftCell="A10" workbookViewId="0">
      <selection activeCell="E20" sqref="E20"/>
    </sheetView>
  </sheetViews>
  <sheetFormatPr defaultRowHeight="15" x14ac:dyDescent="0.25"/>
  <cols>
    <col min="2" max="2" width="17.42578125" customWidth="1"/>
    <col min="3" max="3" width="15.42578125" customWidth="1"/>
    <col min="4" max="4" width="15.42578125" bestFit="1" customWidth="1"/>
    <col min="5" max="5" width="16.85546875" customWidth="1"/>
    <col min="6" max="6" width="13.5703125" customWidth="1"/>
    <col min="7" max="7" width="13.7109375" customWidth="1"/>
  </cols>
  <sheetData>
    <row r="2" spans="1:8" ht="15.75" thickBot="1" x14ac:dyDescent="0.3"/>
    <row r="3" spans="1:8" ht="115.5" thickBot="1" x14ac:dyDescent="0.3">
      <c r="A3" s="25" t="s">
        <v>16</v>
      </c>
      <c r="B3" s="26" t="s">
        <v>17</v>
      </c>
      <c r="C3" s="26" t="s">
        <v>58</v>
      </c>
      <c r="D3" s="26" t="s">
        <v>59</v>
      </c>
      <c r="E3" s="26" t="s">
        <v>18</v>
      </c>
      <c r="F3" s="26" t="s">
        <v>60</v>
      </c>
      <c r="G3" s="26" t="s">
        <v>19</v>
      </c>
    </row>
    <row r="4" spans="1:8" ht="44.25" thickBot="1" x14ac:dyDescent="0.3">
      <c r="A4" s="27">
        <v>1</v>
      </c>
      <c r="B4" s="41" t="s">
        <v>61</v>
      </c>
      <c r="C4" s="47">
        <f>Sheet1!C2</f>
        <v>13332601788.240002</v>
      </c>
      <c r="D4" s="28">
        <f>Sheet1!E2</f>
        <v>1333260178.8240004</v>
      </c>
      <c r="E4" s="28">
        <f>D4-C4</f>
        <v>-11999341609.416</v>
      </c>
      <c r="F4" s="28">
        <f>Sheet1!F2</f>
        <v>3999780536.4720001</v>
      </c>
      <c r="G4" s="28">
        <f>F4-C4</f>
        <v>-9332821251.7680016</v>
      </c>
      <c r="H4">
        <f>D4/C4</f>
        <v>0.10000000000000002</v>
      </c>
    </row>
    <row r="5" spans="1:8" ht="30.75" thickBot="1" x14ac:dyDescent="0.3">
      <c r="A5" s="29">
        <v>2</v>
      </c>
      <c r="B5" s="42" t="s">
        <v>62</v>
      </c>
      <c r="C5" s="30">
        <v>0</v>
      </c>
      <c r="D5" s="30">
        <v>0</v>
      </c>
      <c r="E5" s="28">
        <f t="shared" ref="E5:E20" si="0">D5-C5</f>
        <v>0</v>
      </c>
      <c r="F5" s="30">
        <v>0</v>
      </c>
      <c r="G5" s="28">
        <f t="shared" ref="G5:G20" si="1">F5-C5</f>
        <v>0</v>
      </c>
    </row>
    <row r="6" spans="1:8" ht="45.75" thickBot="1" x14ac:dyDescent="0.3">
      <c r="A6" s="29">
        <v>3</v>
      </c>
      <c r="B6" s="42" t="s">
        <v>63</v>
      </c>
      <c r="C6" s="31">
        <f>C4-C5</f>
        <v>13332601788.240002</v>
      </c>
      <c r="D6" s="31">
        <f>D4-D5</f>
        <v>1333260178.8240004</v>
      </c>
      <c r="E6" s="28">
        <f t="shared" si="0"/>
        <v>-11999341609.416</v>
      </c>
      <c r="F6" s="31">
        <f>F4</f>
        <v>3999780536.4720001</v>
      </c>
      <c r="G6" s="28">
        <f t="shared" si="1"/>
        <v>-9332821251.7680016</v>
      </c>
    </row>
    <row r="7" spans="1:8" ht="15.75" thickBot="1" x14ac:dyDescent="0.3">
      <c r="A7" s="29">
        <v>4</v>
      </c>
      <c r="B7" s="42" t="s">
        <v>64</v>
      </c>
      <c r="C7" s="31">
        <f>Sheet1!C5</f>
        <v>8995714172.4800014</v>
      </c>
      <c r="D7" s="31">
        <f>Sheet1!E5</f>
        <v>1542122429.5680001</v>
      </c>
      <c r="E7" s="28">
        <f t="shared" si="0"/>
        <v>-7453591742.9120016</v>
      </c>
      <c r="F7" s="31">
        <f>Sheet1!F5</f>
        <v>2698714251.7440004</v>
      </c>
      <c r="G7" s="28">
        <f t="shared" si="1"/>
        <v>-6296999920.736001</v>
      </c>
    </row>
    <row r="8" spans="1:8" ht="45.75" thickBot="1" x14ac:dyDescent="0.3">
      <c r="A8" s="29">
        <v>5</v>
      </c>
      <c r="B8" s="42" t="s">
        <v>65</v>
      </c>
      <c r="C8" s="31">
        <f>C6-C7</f>
        <v>4336887615.7600002</v>
      </c>
      <c r="D8" s="31">
        <f>D6-D7</f>
        <v>-208862250.74399972</v>
      </c>
      <c r="E8" s="28">
        <f t="shared" si="0"/>
        <v>-4545749866.5039997</v>
      </c>
      <c r="F8" s="31">
        <f>F6-F7</f>
        <v>1301066284.7279997</v>
      </c>
      <c r="G8" s="28">
        <f t="shared" si="1"/>
        <v>-3035821331.0320005</v>
      </c>
    </row>
    <row r="9" spans="1:8" ht="30.75" thickBot="1" x14ac:dyDescent="0.3">
      <c r="A9" s="29">
        <v>6</v>
      </c>
      <c r="B9" s="42" t="s">
        <v>66</v>
      </c>
      <c r="C9" s="31">
        <f>Sheet1!C7</f>
        <v>0</v>
      </c>
      <c r="D9" s="31">
        <v>0.1</v>
      </c>
      <c r="E9" s="28">
        <f t="shared" si="0"/>
        <v>0.1</v>
      </c>
      <c r="F9" s="31">
        <v>0</v>
      </c>
      <c r="G9" s="28">
        <f t="shared" si="1"/>
        <v>0</v>
      </c>
    </row>
    <row r="10" spans="1:8" ht="15.75" thickBot="1" x14ac:dyDescent="0.3">
      <c r="A10" s="29">
        <v>7</v>
      </c>
      <c r="B10" s="42" t="s">
        <v>67</v>
      </c>
      <c r="C10" s="31">
        <f>Sheet1!C8</f>
        <v>16772770.000000004</v>
      </c>
      <c r="D10" s="31">
        <f>Sheet1!E8</f>
        <v>14376660.000000004</v>
      </c>
      <c r="E10" s="28">
        <f t="shared" si="0"/>
        <v>-2396110</v>
      </c>
      <c r="F10" s="31">
        <f>Sheet1!F8</f>
        <v>16772770.000000004</v>
      </c>
      <c r="G10" s="28">
        <f t="shared" si="1"/>
        <v>0</v>
      </c>
    </row>
    <row r="11" spans="1:8" ht="30.75" thickBot="1" x14ac:dyDescent="0.3">
      <c r="A11" s="29">
        <v>8</v>
      </c>
      <c r="B11" s="42" t="s">
        <v>68</v>
      </c>
      <c r="C11" s="31">
        <f>C10</f>
        <v>16772770.000000004</v>
      </c>
      <c r="D11" s="31">
        <f>D10</f>
        <v>14376660.000000004</v>
      </c>
      <c r="E11" s="28">
        <f t="shared" si="0"/>
        <v>-2396110</v>
      </c>
      <c r="F11" s="31">
        <f>F10</f>
        <v>16772770.000000004</v>
      </c>
      <c r="G11" s="28">
        <f t="shared" si="1"/>
        <v>0</v>
      </c>
    </row>
    <row r="12" spans="1:8" ht="15.75" thickBot="1" x14ac:dyDescent="0.3">
      <c r="A12" s="29"/>
      <c r="B12" s="42" t="s">
        <v>77</v>
      </c>
      <c r="C12" s="31">
        <f>Sheet1!C10</f>
        <v>174656218.32000002</v>
      </c>
      <c r="D12" s="31">
        <f>Sheet1!E10</f>
        <v>13584372.536000004</v>
      </c>
      <c r="E12" s="28">
        <f t="shared" si="0"/>
        <v>-161071845.78400001</v>
      </c>
      <c r="F12" s="31">
        <f>Sheet1!F10</f>
        <v>40753117.608000003</v>
      </c>
      <c r="G12" s="28">
        <f t="shared" si="1"/>
        <v>-133903100.71200001</v>
      </c>
    </row>
    <row r="13" spans="1:8" ht="30.75" thickBot="1" x14ac:dyDescent="0.3">
      <c r="A13" s="29">
        <v>9</v>
      </c>
      <c r="B13" s="42" t="s">
        <v>69</v>
      </c>
      <c r="C13" s="31">
        <f>Sheet1!C9</f>
        <v>760279346.6400001</v>
      </c>
      <c r="D13" s="31">
        <f>Sheet1!E9</f>
        <v>337901931.84000003</v>
      </c>
      <c r="E13" s="28">
        <f t="shared" si="0"/>
        <v>-422377414.80000007</v>
      </c>
      <c r="F13" s="31">
        <f>Sheet1!F9</f>
        <v>177398514.21600002</v>
      </c>
      <c r="G13" s="28">
        <f t="shared" si="1"/>
        <v>-582880832.42400002</v>
      </c>
    </row>
    <row r="14" spans="1:8" ht="45.75" thickBot="1" x14ac:dyDescent="0.3">
      <c r="A14" s="29">
        <v>10</v>
      </c>
      <c r="B14" s="42" t="s">
        <v>70</v>
      </c>
      <c r="C14" s="31">
        <f>C8-C10-C12-C13</f>
        <v>3385179280.8000002</v>
      </c>
      <c r="D14" s="32">
        <f>D8+D9-D10-D12-D13</f>
        <v>-574725215.01999974</v>
      </c>
      <c r="E14" s="28">
        <f t="shared" si="0"/>
        <v>-3959904495.8199997</v>
      </c>
      <c r="F14" s="31">
        <f>F8-F10-F12-F13</f>
        <v>1066141882.9039996</v>
      </c>
      <c r="G14" s="28">
        <f t="shared" si="1"/>
        <v>-2319037397.8960009</v>
      </c>
    </row>
    <row r="15" spans="1:8" ht="15.75" thickBot="1" x14ac:dyDescent="0.3">
      <c r="A15" s="29">
        <v>11</v>
      </c>
      <c r="B15" s="42" t="s">
        <v>71</v>
      </c>
      <c r="C15" s="31">
        <f>Sheet1!C12</f>
        <v>0</v>
      </c>
      <c r="D15" s="30">
        <v>0</v>
      </c>
      <c r="E15" s="28">
        <f t="shared" si="0"/>
        <v>0</v>
      </c>
      <c r="F15" s="30">
        <v>0</v>
      </c>
      <c r="G15" s="28">
        <f t="shared" si="1"/>
        <v>0</v>
      </c>
    </row>
    <row r="16" spans="1:8" ht="15.75" thickBot="1" x14ac:dyDescent="0.3">
      <c r="A16" s="29">
        <v>12</v>
      </c>
      <c r="B16" s="42" t="s">
        <v>72</v>
      </c>
      <c r="C16" s="31">
        <f>0</f>
        <v>0</v>
      </c>
      <c r="D16" s="30">
        <v>0</v>
      </c>
      <c r="E16" s="28">
        <f t="shared" si="0"/>
        <v>0</v>
      </c>
      <c r="F16" s="30">
        <v>0</v>
      </c>
      <c r="G16" s="28">
        <f t="shared" si="1"/>
        <v>0</v>
      </c>
    </row>
    <row r="17" spans="1:7" ht="15.75" thickBot="1" x14ac:dyDescent="0.3">
      <c r="A17" s="29">
        <v>13</v>
      </c>
      <c r="B17" s="42" t="s">
        <v>73</v>
      </c>
      <c r="C17" s="32">
        <f>0</f>
        <v>0</v>
      </c>
      <c r="D17" s="30">
        <f>D16</f>
        <v>0</v>
      </c>
      <c r="E17" s="28">
        <f t="shared" si="0"/>
        <v>0</v>
      </c>
      <c r="F17" s="30">
        <v>0</v>
      </c>
      <c r="G17" s="28">
        <f t="shared" si="1"/>
        <v>0</v>
      </c>
    </row>
    <row r="18" spans="1:7" ht="30.75" thickBot="1" x14ac:dyDescent="0.3">
      <c r="A18" s="35">
        <v>14</v>
      </c>
      <c r="B18" s="43" t="s">
        <v>74</v>
      </c>
      <c r="C18" s="36">
        <f>C14+C17</f>
        <v>3385179280.8000002</v>
      </c>
      <c r="D18" s="37">
        <f>D14+D17</f>
        <v>-574725215.01999974</v>
      </c>
      <c r="E18" s="28">
        <f t="shared" si="0"/>
        <v>-3959904495.8199997</v>
      </c>
      <c r="F18" s="36">
        <f>F14+F17</f>
        <v>1066141882.9039996</v>
      </c>
      <c r="G18" s="28">
        <f t="shared" si="1"/>
        <v>-2319037397.8960009</v>
      </c>
    </row>
    <row r="19" spans="1:7" ht="30.75" thickBot="1" x14ac:dyDescent="0.3">
      <c r="A19" s="38">
        <v>15</v>
      </c>
      <c r="B19" s="44" t="s">
        <v>75</v>
      </c>
      <c r="C19" s="34">
        <f>C18*0.2</f>
        <v>677035856.16000009</v>
      </c>
      <c r="D19" s="34"/>
      <c r="E19" s="28">
        <f t="shared" si="0"/>
        <v>-677035856.16000009</v>
      </c>
      <c r="F19" s="34">
        <f>F18*0.2</f>
        <v>213228376.58079994</v>
      </c>
      <c r="G19" s="28">
        <f t="shared" si="1"/>
        <v>-463807479.57920015</v>
      </c>
    </row>
    <row r="20" spans="1:7" ht="44.25" thickBot="1" x14ac:dyDescent="0.3">
      <c r="A20" s="39">
        <v>16</v>
      </c>
      <c r="B20" s="45" t="s">
        <v>76</v>
      </c>
      <c r="C20" s="40">
        <f>C18-C19</f>
        <v>2708143424.6400003</v>
      </c>
      <c r="D20" s="40">
        <f>D18</f>
        <v>-574725215.01999974</v>
      </c>
      <c r="E20" s="28">
        <f t="shared" si="0"/>
        <v>-3282868639.6599998</v>
      </c>
      <c r="F20" s="40">
        <f>F18-F19</f>
        <v>852913506.32319963</v>
      </c>
      <c r="G20" s="28">
        <f t="shared" si="1"/>
        <v>-1855229918.3168006</v>
      </c>
    </row>
    <row r="21" spans="1:7" x14ac:dyDescent="0.25">
      <c r="B21" s="33"/>
      <c r="F21" s="58"/>
    </row>
    <row r="22" spans="1:7" x14ac:dyDescent="0.25">
      <c r="A22" t="s">
        <v>128</v>
      </c>
      <c r="B22" s="33"/>
      <c r="C22" s="54">
        <v>54000000</v>
      </c>
      <c r="D22" s="54">
        <v>54000000</v>
      </c>
      <c r="E22" s="54">
        <v>54000000</v>
      </c>
      <c r="F22" s="54">
        <f>18000000*3</f>
        <v>54000000</v>
      </c>
    </row>
    <row r="23" spans="1:7" x14ac:dyDescent="0.25">
      <c r="B23" s="33"/>
      <c r="F23" s="58"/>
    </row>
    <row r="24" spans="1:7" x14ac:dyDescent="0.25">
      <c r="A24" t="s">
        <v>129</v>
      </c>
      <c r="C24" s="58">
        <f>C20-C22</f>
        <v>2654143424.6400003</v>
      </c>
      <c r="D24" s="58"/>
      <c r="E24" s="58">
        <f t="shared" ref="E24" si="2">E20-E22</f>
        <v>-3336868639.6599998</v>
      </c>
      <c r="F24" s="58">
        <f>F20-F22</f>
        <v>798913506.32319963</v>
      </c>
    </row>
    <row r="25" spans="1:7" x14ac:dyDescent="0.25">
      <c r="A25" t="s">
        <v>130</v>
      </c>
      <c r="C25" s="63">
        <f>C24*0.7*0.51</f>
        <v>947529202.59648013</v>
      </c>
      <c r="D25" s="63">
        <f t="shared" ref="D25:E25" si="3">D24*0.7*0.51</f>
        <v>0</v>
      </c>
      <c r="E25" s="63">
        <f t="shared" si="3"/>
        <v>-1191262104.3586199</v>
      </c>
      <c r="F25" s="58">
        <f>F24*0.7*0.51</f>
        <v>285212121.75738227</v>
      </c>
    </row>
    <row r="26" spans="1:7" x14ac:dyDescent="0.25">
      <c r="A26" t="s">
        <v>132</v>
      </c>
      <c r="C26" s="12">
        <f>C25/3</f>
        <v>315843067.53216004</v>
      </c>
      <c r="D26" s="12">
        <f t="shared" ref="D26:F26" si="4">D25/3</f>
        <v>0</v>
      </c>
      <c r="E26" s="12">
        <f t="shared" si="4"/>
        <v>-397087368.11953998</v>
      </c>
      <c r="F26" s="12">
        <f t="shared" si="4"/>
        <v>95070707.252460763</v>
      </c>
    </row>
    <row r="27" spans="1:7" x14ac:dyDescent="0.25">
      <c r="F27" s="58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I25"/>
  <sheetViews>
    <sheetView topLeftCell="A13" workbookViewId="0">
      <selection activeCell="I21" sqref="I21"/>
    </sheetView>
  </sheetViews>
  <sheetFormatPr defaultRowHeight="15" x14ac:dyDescent="0.25"/>
  <cols>
    <col min="2" max="2" width="21.140625" customWidth="1"/>
    <col min="3" max="3" width="16.42578125" hidden="1" customWidth="1"/>
    <col min="4" max="4" width="20.140625" customWidth="1"/>
    <col min="5" max="7" width="18.28515625" customWidth="1"/>
    <col min="8" max="8" width="18.140625" customWidth="1"/>
    <col min="9" max="9" width="16.85546875" bestFit="1" customWidth="1"/>
  </cols>
  <sheetData>
    <row r="3" spans="1:8" ht="57.75" x14ac:dyDescent="0.25">
      <c r="A3" s="39" t="s">
        <v>16</v>
      </c>
      <c r="B3" s="39" t="s">
        <v>17</v>
      </c>
      <c r="C3" s="46" t="s">
        <v>78</v>
      </c>
      <c r="D3" s="46" t="s">
        <v>78</v>
      </c>
      <c r="E3" s="46" t="s">
        <v>79</v>
      </c>
      <c r="F3" s="46" t="s">
        <v>18</v>
      </c>
      <c r="G3" s="46" t="s">
        <v>80</v>
      </c>
      <c r="H3" s="46" t="s">
        <v>19</v>
      </c>
    </row>
    <row r="4" spans="1:8" ht="30" thickBot="1" x14ac:dyDescent="0.3">
      <c r="A4" s="27">
        <v>1</v>
      </c>
      <c r="B4" s="41" t="s">
        <v>61</v>
      </c>
      <c r="C4" s="47">
        <v>14284</v>
      </c>
      <c r="D4" s="47">
        <f>Sheet1!G2</f>
        <v>22855888779.840004</v>
      </c>
      <c r="E4" s="47">
        <f>Sheet1!H2</f>
        <v>2285588877.9840007</v>
      </c>
      <c r="F4" s="47">
        <f>E4-D4</f>
        <v>-20570299901.856003</v>
      </c>
      <c r="G4" s="28">
        <f>Sheet1!I2</f>
        <v>6856766633.9520006</v>
      </c>
      <c r="H4" s="47">
        <f>G4-D4</f>
        <v>-15999122145.888004</v>
      </c>
    </row>
    <row r="5" spans="1:8" ht="30.75" thickBot="1" x14ac:dyDescent="0.3">
      <c r="A5" s="29">
        <v>2</v>
      </c>
      <c r="B5" s="42" t="s">
        <v>62</v>
      </c>
      <c r="C5" s="48">
        <v>0</v>
      </c>
      <c r="D5" s="47">
        <f t="shared" ref="D5" si="0">C5*5/3</f>
        <v>0</v>
      </c>
      <c r="E5" s="48">
        <v>0</v>
      </c>
      <c r="F5" s="47">
        <f t="shared" ref="F5:F20" si="1">E5-D5</f>
        <v>0</v>
      </c>
      <c r="G5" s="30">
        <v>0</v>
      </c>
      <c r="H5" s="47">
        <f t="shared" ref="H5:H20" si="2">G5-D5</f>
        <v>0</v>
      </c>
    </row>
    <row r="6" spans="1:8" ht="45.75" thickBot="1" x14ac:dyDescent="0.3">
      <c r="A6" s="29">
        <v>3</v>
      </c>
      <c r="B6" s="42" t="s">
        <v>63</v>
      </c>
      <c r="C6" s="48">
        <f>C4-C5</f>
        <v>14284</v>
      </c>
      <c r="D6" s="47">
        <f>D4</f>
        <v>22855888779.840004</v>
      </c>
      <c r="E6" s="48">
        <f>E4-E5</f>
        <v>2285588877.9840007</v>
      </c>
      <c r="F6" s="47">
        <f t="shared" si="1"/>
        <v>-20570299901.856003</v>
      </c>
      <c r="G6" s="31">
        <f>G4</f>
        <v>6856766633.9520006</v>
      </c>
      <c r="H6" s="47">
        <f t="shared" si="2"/>
        <v>-15999122145.888004</v>
      </c>
    </row>
    <row r="7" spans="1:8" ht="15.75" thickBot="1" x14ac:dyDescent="0.3">
      <c r="A7" s="29">
        <v>4</v>
      </c>
      <c r="B7" s="42" t="s">
        <v>64</v>
      </c>
      <c r="C7" s="48">
        <v>9637</v>
      </c>
      <c r="D7" s="47">
        <f>Sheet1!G5</f>
        <v>15421224295.680004</v>
      </c>
      <c r="E7" s="48">
        <f>Sheet1!H5</f>
        <v>1542122429.5680001</v>
      </c>
      <c r="F7" s="47">
        <f t="shared" si="1"/>
        <v>-13879101866.112003</v>
      </c>
      <c r="G7" s="31">
        <f>Sheet1!I5</f>
        <v>4626367288.7040005</v>
      </c>
      <c r="H7" s="47">
        <f t="shared" si="2"/>
        <v>-10794857006.976004</v>
      </c>
    </row>
    <row r="8" spans="1:8" ht="45.75" thickBot="1" x14ac:dyDescent="0.3">
      <c r="A8" s="29">
        <v>5</v>
      </c>
      <c r="B8" s="42" t="s">
        <v>65</v>
      </c>
      <c r="C8" s="48">
        <f>C6-C7</f>
        <v>4647</v>
      </c>
      <c r="D8" s="47">
        <f>D6-D7</f>
        <v>7434664484.1599998</v>
      </c>
      <c r="E8" s="48">
        <f>E6-E7</f>
        <v>743466448.4160006</v>
      </c>
      <c r="F8" s="47">
        <f t="shared" si="1"/>
        <v>-6691198035.7439995</v>
      </c>
      <c r="G8" s="31">
        <f>G6-G7</f>
        <v>2230399345.2480001</v>
      </c>
      <c r="H8" s="47">
        <f t="shared" si="2"/>
        <v>-5204265138.9119997</v>
      </c>
    </row>
    <row r="9" spans="1:8" ht="30.75" thickBot="1" x14ac:dyDescent="0.3">
      <c r="A9" s="29">
        <v>6</v>
      </c>
      <c r="B9" s="42" t="s">
        <v>66</v>
      </c>
      <c r="C9" s="48">
        <v>0</v>
      </c>
      <c r="D9" s="47">
        <f>Sheet1!G7</f>
        <v>0</v>
      </c>
      <c r="E9" s="48">
        <v>0.1</v>
      </c>
      <c r="F9" s="47">
        <f t="shared" si="1"/>
        <v>0.1</v>
      </c>
      <c r="G9" s="31">
        <v>0</v>
      </c>
      <c r="H9" s="47">
        <f t="shared" si="2"/>
        <v>0</v>
      </c>
    </row>
    <row r="10" spans="1:8" ht="15.75" thickBot="1" x14ac:dyDescent="0.3">
      <c r="A10" s="29">
        <v>7</v>
      </c>
      <c r="B10" s="42" t="s">
        <v>67</v>
      </c>
      <c r="C10" s="48">
        <v>29</v>
      </c>
      <c r="D10" s="47">
        <f>Sheet1!G8</f>
        <v>28753320.000000007</v>
      </c>
      <c r="E10" s="48">
        <f>Sheet1!H8</f>
        <v>23961100.000000004</v>
      </c>
      <c r="F10" s="47">
        <f t="shared" si="1"/>
        <v>-4792220.0000000037</v>
      </c>
      <c r="G10" s="31">
        <f>Sheet1!I8</f>
        <v>28753320.000000007</v>
      </c>
      <c r="H10" s="47">
        <f t="shared" si="2"/>
        <v>0</v>
      </c>
    </row>
    <row r="11" spans="1:8" ht="30.75" thickBot="1" x14ac:dyDescent="0.3">
      <c r="A11" s="29">
        <v>8</v>
      </c>
      <c r="B11" s="42" t="s">
        <v>68</v>
      </c>
      <c r="C11" s="48">
        <v>29</v>
      </c>
      <c r="D11" s="47">
        <f>D10</f>
        <v>28753320.000000007</v>
      </c>
      <c r="E11" s="48">
        <f>E10</f>
        <v>23961100.000000004</v>
      </c>
      <c r="F11" s="47">
        <f t="shared" si="1"/>
        <v>-4792220.0000000037</v>
      </c>
      <c r="G11" s="31">
        <f>G10</f>
        <v>28753320.000000007</v>
      </c>
      <c r="H11" s="47">
        <f t="shared" si="2"/>
        <v>0</v>
      </c>
    </row>
    <row r="12" spans="1:8" ht="15.75" thickBot="1" x14ac:dyDescent="0.3">
      <c r="A12" s="29"/>
      <c r="B12" s="42" t="s">
        <v>77</v>
      </c>
      <c r="C12" s="48">
        <v>485</v>
      </c>
      <c r="D12" s="47">
        <f>Sheet1!G10</f>
        <v>232874957.76000005</v>
      </c>
      <c r="E12" s="48">
        <f>Sheet1!H10</f>
        <v>23287495.776000008</v>
      </c>
      <c r="F12" s="47">
        <f t="shared" si="1"/>
        <v>-209587461.98400003</v>
      </c>
      <c r="G12" s="31">
        <f>Sheet1!I10</f>
        <v>69862487.328000009</v>
      </c>
      <c r="H12" s="47">
        <f t="shared" si="2"/>
        <v>-163012470.43200004</v>
      </c>
    </row>
    <row r="13" spans="1:8" ht="30.75" thickBot="1" x14ac:dyDescent="0.3">
      <c r="A13" s="29">
        <v>9</v>
      </c>
      <c r="B13" s="42" t="s">
        <v>69</v>
      </c>
      <c r="C13" s="48">
        <v>1407</v>
      </c>
      <c r="D13" s="47">
        <f>Sheet1!G9</f>
        <v>1013705795.5200002</v>
      </c>
      <c r="E13" s="48">
        <f>Sheet1!H9</f>
        <v>1815174943.8400002</v>
      </c>
      <c r="F13" s="47">
        <f t="shared" si="1"/>
        <v>801469148.31999993</v>
      </c>
      <c r="G13" s="31">
        <f>Sheet1!I9</f>
        <v>304111738.65600002</v>
      </c>
      <c r="H13" s="47">
        <f t="shared" si="2"/>
        <v>-709594056.8640002</v>
      </c>
    </row>
    <row r="14" spans="1:8" ht="30.75" thickBot="1" x14ac:dyDescent="0.3">
      <c r="A14" s="29">
        <v>10</v>
      </c>
      <c r="B14" s="42" t="s">
        <v>70</v>
      </c>
      <c r="C14" s="48">
        <f>C8-C10-C12-C13</f>
        <v>2726</v>
      </c>
      <c r="D14" s="47">
        <f>D8-D11-D12-D13</f>
        <v>6159330410.8799992</v>
      </c>
      <c r="E14" s="49">
        <f>E8+E9-E10-E12-E13</f>
        <v>-1118957091.0999994</v>
      </c>
      <c r="F14" s="47">
        <f t="shared" si="1"/>
        <v>-7278287501.9799986</v>
      </c>
      <c r="G14" s="31">
        <f>G8-G10-G12-G13</f>
        <v>1827671799.2639999</v>
      </c>
      <c r="H14" s="47">
        <f t="shared" si="2"/>
        <v>-4331658611.6159992</v>
      </c>
    </row>
    <row r="15" spans="1:8" ht="15.75" thickBot="1" x14ac:dyDescent="0.3">
      <c r="A15" s="29">
        <v>11</v>
      </c>
      <c r="B15" s="42" t="s">
        <v>71</v>
      </c>
      <c r="C15" s="48">
        <v>67</v>
      </c>
      <c r="D15" s="47">
        <v>0</v>
      </c>
      <c r="E15" s="48">
        <v>0</v>
      </c>
      <c r="F15" s="47">
        <f t="shared" si="1"/>
        <v>0</v>
      </c>
      <c r="G15" s="30">
        <v>0</v>
      </c>
      <c r="H15" s="47">
        <f t="shared" si="2"/>
        <v>0</v>
      </c>
    </row>
    <row r="16" spans="1:8" ht="15.75" thickBot="1" x14ac:dyDescent="0.3">
      <c r="A16" s="29">
        <v>12</v>
      </c>
      <c r="B16" s="42" t="s">
        <v>72</v>
      </c>
      <c r="C16" s="48">
        <v>12</v>
      </c>
      <c r="D16" s="47">
        <v>0</v>
      </c>
      <c r="E16" s="48">
        <v>0</v>
      </c>
      <c r="F16" s="47">
        <f t="shared" si="1"/>
        <v>0</v>
      </c>
      <c r="G16" s="30">
        <v>0</v>
      </c>
      <c r="H16" s="47">
        <f t="shared" si="2"/>
        <v>0</v>
      </c>
    </row>
    <row r="17" spans="1:9" ht="15.75" thickBot="1" x14ac:dyDescent="0.3">
      <c r="A17" s="29">
        <v>13</v>
      </c>
      <c r="B17" s="42" t="s">
        <v>73</v>
      </c>
      <c r="C17" s="49">
        <v>55</v>
      </c>
      <c r="D17" s="47">
        <v>0</v>
      </c>
      <c r="E17" s="48">
        <v>0</v>
      </c>
      <c r="F17" s="47">
        <f t="shared" si="1"/>
        <v>0</v>
      </c>
      <c r="G17" s="30">
        <v>0</v>
      </c>
      <c r="H17" s="47">
        <f t="shared" si="2"/>
        <v>0</v>
      </c>
    </row>
    <row r="18" spans="1:9" ht="30.75" thickBot="1" x14ac:dyDescent="0.3">
      <c r="A18" s="35">
        <v>14</v>
      </c>
      <c r="B18" s="43" t="s">
        <v>74</v>
      </c>
      <c r="C18" s="50">
        <f>C14+C17</f>
        <v>2781</v>
      </c>
      <c r="D18" s="47">
        <f>D14</f>
        <v>6159330410.8799992</v>
      </c>
      <c r="E18" s="51">
        <f>E14+E17</f>
        <v>-1118957091.0999994</v>
      </c>
      <c r="F18" s="47">
        <f t="shared" si="1"/>
        <v>-7278287501.9799986</v>
      </c>
      <c r="G18" s="36">
        <f>G14+G17</f>
        <v>1827671799.2639999</v>
      </c>
      <c r="H18" s="47">
        <f t="shared" si="2"/>
        <v>-4331658611.6159992</v>
      </c>
    </row>
    <row r="19" spans="1:9" ht="30.75" thickBot="1" x14ac:dyDescent="0.3">
      <c r="A19" s="38">
        <v>15</v>
      </c>
      <c r="B19" s="44" t="s">
        <v>75</v>
      </c>
      <c r="C19" s="52">
        <f>C18*0.2</f>
        <v>556.20000000000005</v>
      </c>
      <c r="D19" s="47">
        <f>D18*0.2</f>
        <v>1231866082.1759999</v>
      </c>
      <c r="E19" s="52"/>
      <c r="F19" s="47">
        <f t="shared" si="1"/>
        <v>-1231866082.1759999</v>
      </c>
      <c r="G19" s="34">
        <f>G18*0.2</f>
        <v>365534359.85280001</v>
      </c>
      <c r="H19" s="47">
        <f t="shared" si="2"/>
        <v>-866331722.32319987</v>
      </c>
    </row>
    <row r="20" spans="1:9" ht="44.25" thickBot="1" x14ac:dyDescent="0.3">
      <c r="A20" s="39">
        <v>16</v>
      </c>
      <c r="B20" s="45" t="s">
        <v>76</v>
      </c>
      <c r="C20" s="53">
        <f>C18-C19</f>
        <v>2224.8000000000002</v>
      </c>
      <c r="D20" s="47">
        <f>D18-D19</f>
        <v>4927464328.7039995</v>
      </c>
      <c r="E20" s="53"/>
      <c r="F20" s="47">
        <f t="shared" si="1"/>
        <v>-4927464328.7039995</v>
      </c>
      <c r="G20" s="40">
        <f>G18-G19</f>
        <v>1462137439.4112</v>
      </c>
      <c r="H20" s="47">
        <f t="shared" si="2"/>
        <v>-3465326889.2927995</v>
      </c>
      <c r="I20" s="12">
        <f>D20*0.7/5</f>
        <v>689845006.01855993</v>
      </c>
    </row>
    <row r="21" spans="1:9" x14ac:dyDescent="0.25">
      <c r="B21" s="33"/>
      <c r="C21" s="54"/>
      <c r="D21" s="54"/>
      <c r="E21" s="54"/>
      <c r="F21" s="54"/>
      <c r="G21" s="54"/>
      <c r="H21" s="54"/>
      <c r="I21" s="54">
        <v>18000000</v>
      </c>
    </row>
    <row r="22" spans="1:9" x14ac:dyDescent="0.25">
      <c r="A22" t="s">
        <v>131</v>
      </c>
      <c r="B22" s="33"/>
      <c r="D22" s="54">
        <f>18000000*5</f>
        <v>90000000</v>
      </c>
      <c r="E22" s="54">
        <f t="shared" ref="E22:G22" si="3">18000000*5</f>
        <v>90000000</v>
      </c>
      <c r="F22" s="54">
        <f t="shared" si="3"/>
        <v>90000000</v>
      </c>
      <c r="G22" s="54">
        <f t="shared" si="3"/>
        <v>90000000</v>
      </c>
      <c r="I22" s="12">
        <f>(I20-I21)*0.7*0.51</f>
        <v>239848667.14862588</v>
      </c>
    </row>
    <row r="23" spans="1:9" x14ac:dyDescent="0.25">
      <c r="A23" t="s">
        <v>129</v>
      </c>
      <c r="B23" s="33"/>
      <c r="D23" s="54">
        <f>D20-D22</f>
        <v>4837464328.7039995</v>
      </c>
      <c r="E23" s="54">
        <f t="shared" ref="E23:G23" si="4">E20-E22</f>
        <v>-90000000</v>
      </c>
      <c r="F23" s="54">
        <f t="shared" si="4"/>
        <v>-5017464328.7039995</v>
      </c>
      <c r="G23" s="54">
        <f t="shared" si="4"/>
        <v>1372137439.4112</v>
      </c>
    </row>
    <row r="24" spans="1:9" x14ac:dyDescent="0.25">
      <c r="A24" t="s">
        <v>130</v>
      </c>
      <c r="D24" s="54">
        <f>D23*0.7*0.51</f>
        <v>1726974765.3473279</v>
      </c>
      <c r="E24" s="54">
        <f t="shared" ref="E24:G24" si="5">E23*0.7*0.51</f>
        <v>-32129999.999999996</v>
      </c>
      <c r="F24" s="54">
        <f t="shared" si="5"/>
        <v>-1791234765.3473279</v>
      </c>
      <c r="G24" s="54">
        <f t="shared" si="5"/>
        <v>489853065.86979836</v>
      </c>
    </row>
    <row r="25" spans="1:9" x14ac:dyDescent="0.25">
      <c r="A25" t="s">
        <v>135</v>
      </c>
      <c r="D25" s="54">
        <f>D24/5</f>
        <v>345394953.06946558</v>
      </c>
      <c r="E25" s="54">
        <f t="shared" ref="E25:G25" si="6">E24/5</f>
        <v>-6425999.9999999991</v>
      </c>
      <c r="F25" s="54">
        <f t="shared" si="6"/>
        <v>-358246953.06946558</v>
      </c>
      <c r="G25" s="54">
        <f t="shared" si="6"/>
        <v>97970613.173959672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26"/>
  <sheetViews>
    <sheetView topLeftCell="A7" workbookViewId="0">
      <selection activeCell="F4" sqref="F4:G20"/>
    </sheetView>
  </sheetViews>
  <sheetFormatPr defaultRowHeight="15" x14ac:dyDescent="0.25"/>
  <cols>
    <col min="2" max="2" width="21.140625" customWidth="1"/>
    <col min="3" max="3" width="16.42578125" customWidth="1"/>
    <col min="4" max="4" width="14.7109375" customWidth="1"/>
    <col min="5" max="5" width="16" customWidth="1"/>
    <col min="6" max="6" width="16.5703125" customWidth="1"/>
    <col min="7" max="7" width="20.140625" customWidth="1"/>
  </cols>
  <sheetData>
    <row r="3" spans="1:7" ht="139.5" customHeight="1" x14ac:dyDescent="0.25">
      <c r="A3" s="39" t="s">
        <v>16</v>
      </c>
      <c r="B3" s="39" t="s">
        <v>17</v>
      </c>
      <c r="C3" s="46" t="s">
        <v>81</v>
      </c>
      <c r="D3" s="46" t="s">
        <v>82</v>
      </c>
      <c r="E3" s="46" t="s">
        <v>18</v>
      </c>
      <c r="F3" s="46" t="s">
        <v>83</v>
      </c>
      <c r="G3" s="46" t="s">
        <v>19</v>
      </c>
    </row>
    <row r="4" spans="1:7" ht="30" thickBot="1" x14ac:dyDescent="0.3">
      <c r="A4" s="27">
        <v>1</v>
      </c>
      <c r="B4" s="41" t="s">
        <v>61</v>
      </c>
      <c r="C4" s="47">
        <f>Sheet1!J2</f>
        <v>32379175771.440002</v>
      </c>
      <c r="D4" s="47">
        <f>Sheet1!K2</f>
        <v>3237917577.1440005</v>
      </c>
      <c r="E4" s="47">
        <f>D4-C4</f>
        <v>-29141258194.296001</v>
      </c>
      <c r="F4" s="47">
        <f>Sheet1!L2</f>
        <v>9713752731.4320011</v>
      </c>
      <c r="G4" s="47">
        <f>F4-C4</f>
        <v>-22665423040.008003</v>
      </c>
    </row>
    <row r="5" spans="1:7" ht="30.75" thickBot="1" x14ac:dyDescent="0.3">
      <c r="A5" s="29">
        <v>2</v>
      </c>
      <c r="B5" s="42" t="s">
        <v>62</v>
      </c>
      <c r="C5" s="48">
        <v>0</v>
      </c>
      <c r="D5" s="47">
        <f>C5*5/3</f>
        <v>0</v>
      </c>
      <c r="E5" s="47">
        <f t="shared" ref="E5:E20" si="0">D5-C5</f>
        <v>0</v>
      </c>
      <c r="F5" s="48">
        <v>0</v>
      </c>
      <c r="G5" s="47">
        <f t="shared" ref="G5:G20" si="1">F5-C5</f>
        <v>0</v>
      </c>
    </row>
    <row r="6" spans="1:7" ht="45.75" thickBot="1" x14ac:dyDescent="0.3">
      <c r="A6" s="29">
        <v>3</v>
      </c>
      <c r="B6" s="42" t="s">
        <v>63</v>
      </c>
      <c r="C6" s="48">
        <f>C4-C5</f>
        <v>32379175771.440002</v>
      </c>
      <c r="D6" s="47">
        <f>D4</f>
        <v>3237917577.1440005</v>
      </c>
      <c r="E6" s="47">
        <f t="shared" si="0"/>
        <v>-29141258194.296001</v>
      </c>
      <c r="F6" s="48">
        <f>F4</f>
        <v>9713752731.4320011</v>
      </c>
      <c r="G6" s="47">
        <f t="shared" si="1"/>
        <v>-22665423040.008003</v>
      </c>
    </row>
    <row r="7" spans="1:7" ht="15.75" thickBot="1" x14ac:dyDescent="0.3">
      <c r="A7" s="29">
        <v>4</v>
      </c>
      <c r="B7" s="42" t="s">
        <v>64</v>
      </c>
      <c r="C7" s="48">
        <f>Sheet1!J5</f>
        <v>21846734418.880001</v>
      </c>
      <c r="D7" s="47">
        <f>Sheet1!K5</f>
        <v>1542122429.5680001</v>
      </c>
      <c r="E7" s="47">
        <f t="shared" si="0"/>
        <v>-20304611989.312</v>
      </c>
      <c r="F7" s="48">
        <f>Sheet1!L5</f>
        <v>6554020325.6640015</v>
      </c>
      <c r="G7" s="47">
        <f t="shared" si="1"/>
        <v>-15292714093.216</v>
      </c>
    </row>
    <row r="8" spans="1:7" ht="45.75" thickBot="1" x14ac:dyDescent="0.3">
      <c r="A8" s="29">
        <v>5</v>
      </c>
      <c r="B8" s="42" t="s">
        <v>65</v>
      </c>
      <c r="C8" s="48">
        <f>C6-C7</f>
        <v>10532441352.560001</v>
      </c>
      <c r="D8" s="47">
        <f>D6-D7</f>
        <v>1695795147.5760005</v>
      </c>
      <c r="E8" s="47">
        <f t="shared" si="0"/>
        <v>-8836646204.9840012</v>
      </c>
      <c r="F8" s="48">
        <f>F6-F7</f>
        <v>3159732405.7679996</v>
      </c>
      <c r="G8" s="47">
        <f t="shared" si="1"/>
        <v>-7372708946.7920017</v>
      </c>
    </row>
    <row r="9" spans="1:7" ht="30.75" thickBot="1" x14ac:dyDescent="0.3">
      <c r="A9" s="29">
        <v>6</v>
      </c>
      <c r="B9" s="42" t="s">
        <v>66</v>
      </c>
      <c r="C9" s="48">
        <v>0</v>
      </c>
      <c r="D9" s="47">
        <f t="shared" ref="D9:D17" si="2">C9*5/3</f>
        <v>0</v>
      </c>
      <c r="E9" s="47">
        <f t="shared" si="0"/>
        <v>0</v>
      </c>
      <c r="F9" s="48">
        <f t="shared" ref="F9:F17" si="3">E9-C9</f>
        <v>0</v>
      </c>
      <c r="G9" s="47">
        <f t="shared" si="1"/>
        <v>0</v>
      </c>
    </row>
    <row r="10" spans="1:7" ht="15.75" thickBot="1" x14ac:dyDescent="0.3">
      <c r="A10" s="29">
        <v>7</v>
      </c>
      <c r="B10" s="42" t="s">
        <v>67</v>
      </c>
      <c r="C10" s="48">
        <f>Sheet1!J8</f>
        <v>40733870.000000007</v>
      </c>
      <c r="D10" s="47">
        <f>Sheet1!K8</f>
        <v>33545540.000000007</v>
      </c>
      <c r="E10" s="47">
        <f t="shared" si="0"/>
        <v>-7188330</v>
      </c>
      <c r="F10" s="48">
        <f>Sheet1!L8</f>
        <v>40733870.000000007</v>
      </c>
      <c r="G10" s="47">
        <f t="shared" si="1"/>
        <v>0</v>
      </c>
    </row>
    <row r="11" spans="1:7" ht="30.75" thickBot="1" x14ac:dyDescent="0.3">
      <c r="A11" s="29">
        <v>8</v>
      </c>
      <c r="B11" s="42" t="s">
        <v>68</v>
      </c>
      <c r="C11" s="48">
        <f>C10</f>
        <v>40733870.000000007</v>
      </c>
      <c r="D11" s="47">
        <f>D10</f>
        <v>33545540.000000007</v>
      </c>
      <c r="E11" s="47">
        <f t="shared" si="0"/>
        <v>-7188330</v>
      </c>
      <c r="F11" s="48">
        <f>F10</f>
        <v>40733870.000000007</v>
      </c>
      <c r="G11" s="47">
        <f t="shared" si="1"/>
        <v>0</v>
      </c>
    </row>
    <row r="12" spans="1:7" ht="15.75" thickBot="1" x14ac:dyDescent="0.3">
      <c r="A12" s="29"/>
      <c r="B12" s="42" t="s">
        <v>77</v>
      </c>
      <c r="C12" s="48">
        <f>Sheet1!J10</f>
        <v>329906190.16000003</v>
      </c>
      <c r="D12" s="47">
        <f>Sheet1!K10</f>
        <v>32990619.016000006</v>
      </c>
      <c r="E12" s="47">
        <f t="shared" si="0"/>
        <v>-296915571.14399999</v>
      </c>
      <c r="F12" s="48">
        <f>Sheet1!L10</f>
        <v>98971857.048000023</v>
      </c>
      <c r="G12" s="47">
        <f t="shared" si="1"/>
        <v>-230934333.11199999</v>
      </c>
    </row>
    <row r="13" spans="1:7" ht="30.75" thickBot="1" x14ac:dyDescent="0.3">
      <c r="A13" s="29">
        <v>9</v>
      </c>
      <c r="B13" s="42" t="s">
        <v>69</v>
      </c>
      <c r="C13" s="48">
        <f>Sheet1!J9</f>
        <v>1436083210.3200002</v>
      </c>
      <c r="D13" s="47">
        <f>Sheet1!K9</f>
        <v>3292447955.8400002</v>
      </c>
      <c r="E13" s="47">
        <f t="shared" si="0"/>
        <v>1856364745.52</v>
      </c>
      <c r="F13" s="48">
        <f>Sheet1!L9</f>
        <v>430824963.09600008</v>
      </c>
      <c r="G13" s="47">
        <f t="shared" si="1"/>
        <v>-1005258247.2240001</v>
      </c>
    </row>
    <row r="14" spans="1:7" ht="30.75" thickBot="1" x14ac:dyDescent="0.3">
      <c r="A14" s="29">
        <v>10</v>
      </c>
      <c r="B14" s="42" t="s">
        <v>70</v>
      </c>
      <c r="C14" s="48">
        <f>C8-C10-C12-C13</f>
        <v>8725718082.0800018</v>
      </c>
      <c r="D14" s="47">
        <f>D8-D11-D12-D13</f>
        <v>-1663188967.2799997</v>
      </c>
      <c r="E14" s="47">
        <f t="shared" si="0"/>
        <v>-10388907049.360001</v>
      </c>
      <c r="F14" s="48">
        <f>F8-F11-F12-F13</f>
        <v>2589201715.6239996</v>
      </c>
      <c r="G14" s="47">
        <f t="shared" si="1"/>
        <v>-6136516366.4560022</v>
      </c>
    </row>
    <row r="15" spans="1:7" ht="15.75" thickBot="1" x14ac:dyDescent="0.3">
      <c r="A15" s="29">
        <v>11</v>
      </c>
      <c r="B15" s="42" t="s">
        <v>71</v>
      </c>
      <c r="C15" s="48">
        <v>0</v>
      </c>
      <c r="D15" s="47">
        <f t="shared" si="2"/>
        <v>0</v>
      </c>
      <c r="E15" s="47">
        <f t="shared" si="0"/>
        <v>0</v>
      </c>
      <c r="F15" s="48">
        <f t="shared" si="3"/>
        <v>0</v>
      </c>
      <c r="G15" s="47">
        <f t="shared" si="1"/>
        <v>0</v>
      </c>
    </row>
    <row r="16" spans="1:7" ht="15.75" thickBot="1" x14ac:dyDescent="0.3">
      <c r="A16" s="29">
        <v>12</v>
      </c>
      <c r="B16" s="42" t="s">
        <v>72</v>
      </c>
      <c r="C16" s="48">
        <v>0</v>
      </c>
      <c r="D16" s="47">
        <f t="shared" si="2"/>
        <v>0</v>
      </c>
      <c r="E16" s="47">
        <f t="shared" si="0"/>
        <v>0</v>
      </c>
      <c r="F16" s="48">
        <f t="shared" si="3"/>
        <v>0</v>
      </c>
      <c r="G16" s="47">
        <f t="shared" si="1"/>
        <v>0</v>
      </c>
    </row>
    <row r="17" spans="1:7" ht="15.75" thickBot="1" x14ac:dyDescent="0.3">
      <c r="A17" s="29">
        <v>13</v>
      </c>
      <c r="B17" s="42" t="s">
        <v>73</v>
      </c>
      <c r="C17" s="49">
        <v>0</v>
      </c>
      <c r="D17" s="47">
        <f t="shared" si="2"/>
        <v>0</v>
      </c>
      <c r="E17" s="47">
        <f t="shared" si="0"/>
        <v>0</v>
      </c>
      <c r="F17" s="48">
        <f t="shared" si="3"/>
        <v>0</v>
      </c>
      <c r="G17" s="47">
        <f t="shared" si="1"/>
        <v>0</v>
      </c>
    </row>
    <row r="18" spans="1:7" ht="30.75" thickBot="1" x14ac:dyDescent="0.3">
      <c r="A18" s="35">
        <v>14</v>
      </c>
      <c r="B18" s="43" t="s">
        <v>74</v>
      </c>
      <c r="C18" s="50">
        <f>C14+C17</f>
        <v>8725718082.0800018</v>
      </c>
      <c r="D18" s="47">
        <f>D14</f>
        <v>-1663188967.2799997</v>
      </c>
      <c r="E18" s="47">
        <f t="shared" si="0"/>
        <v>-10388907049.360001</v>
      </c>
      <c r="F18" s="50">
        <f>F14</f>
        <v>2589201715.6239996</v>
      </c>
      <c r="G18" s="47">
        <f t="shared" si="1"/>
        <v>-6136516366.4560022</v>
      </c>
    </row>
    <row r="19" spans="1:7" ht="30.75" thickBot="1" x14ac:dyDescent="0.3">
      <c r="A19" s="38">
        <v>15</v>
      </c>
      <c r="B19" s="44" t="s">
        <v>75</v>
      </c>
      <c r="C19" s="52">
        <f>C18*0.2</f>
        <v>1745143616.4160004</v>
      </c>
      <c r="D19" s="47">
        <v>0</v>
      </c>
      <c r="E19" s="47">
        <f t="shared" si="0"/>
        <v>-1745143616.4160004</v>
      </c>
      <c r="F19" s="52">
        <f t="shared" ref="F19" si="4">F18*0.2</f>
        <v>517840343.12479997</v>
      </c>
      <c r="G19" s="47">
        <f t="shared" si="1"/>
        <v>-1227303273.2912004</v>
      </c>
    </row>
    <row r="20" spans="1:7" ht="44.25" thickBot="1" x14ac:dyDescent="0.3">
      <c r="A20" s="39">
        <v>16</v>
      </c>
      <c r="B20" s="45" t="s">
        <v>76</v>
      </c>
      <c r="C20" s="53">
        <f>C18-C19</f>
        <v>6980574465.6640015</v>
      </c>
      <c r="D20" s="47">
        <f>D18-D19</f>
        <v>-1663188967.2799997</v>
      </c>
      <c r="E20" s="47">
        <f t="shared" si="0"/>
        <v>-8643763432.9440002</v>
      </c>
      <c r="F20" s="53">
        <f t="shared" ref="F20" si="5">F18-F19</f>
        <v>2071361372.4991996</v>
      </c>
      <c r="G20" s="47">
        <f t="shared" si="1"/>
        <v>-4909213093.1648016</v>
      </c>
    </row>
    <row r="21" spans="1:7" x14ac:dyDescent="0.25">
      <c r="B21" s="33"/>
      <c r="C21" s="54"/>
      <c r="D21" s="54"/>
      <c r="E21" s="54"/>
      <c r="F21" s="54"/>
      <c r="G21" s="54"/>
    </row>
    <row r="22" spans="1:7" x14ac:dyDescent="0.25">
      <c r="A22" t="s">
        <v>128</v>
      </c>
      <c r="B22" s="33"/>
      <c r="C22" s="54">
        <f>18000000*7</f>
        <v>126000000</v>
      </c>
      <c r="D22" s="54">
        <f t="shared" ref="D22:F22" si="6">18000000*7</f>
        <v>126000000</v>
      </c>
      <c r="E22" s="54"/>
      <c r="F22" s="54">
        <f t="shared" si="6"/>
        <v>126000000</v>
      </c>
      <c r="G22">
        <f>18000000*7</f>
        <v>126000000</v>
      </c>
    </row>
    <row r="23" spans="1:7" x14ac:dyDescent="0.25">
      <c r="A23" t="s">
        <v>129</v>
      </c>
      <c r="B23" s="33"/>
      <c r="C23" s="8">
        <f>C20-C22</f>
        <v>6854574465.6640015</v>
      </c>
      <c r="D23" s="8">
        <f t="shared" ref="D23:F23" si="7">D20-D22</f>
        <v>-1789188967.2799997</v>
      </c>
      <c r="E23" s="8"/>
      <c r="F23" s="8">
        <f t="shared" si="7"/>
        <v>1945361372.4991996</v>
      </c>
      <c r="G23" s="8">
        <f>G20-G22</f>
        <v>-5035213093.1648016</v>
      </c>
    </row>
    <row r="24" spans="1:7" x14ac:dyDescent="0.25">
      <c r="A24" t="s">
        <v>130</v>
      </c>
      <c r="C24" s="54">
        <f>C23*0.7*0.51</f>
        <v>2447083084.2420483</v>
      </c>
      <c r="D24" s="54">
        <f t="shared" ref="D24:F24" si="8">D23*0.7*0.51</f>
        <v>-638740461.31895983</v>
      </c>
      <c r="E24" s="54"/>
      <c r="F24" s="54">
        <f t="shared" si="8"/>
        <v>694494009.98221421</v>
      </c>
      <c r="G24">
        <f>G23*0.7*0.51</f>
        <v>-1797571074.2598343</v>
      </c>
    </row>
    <row r="25" spans="1:7" x14ac:dyDescent="0.25">
      <c r="C25" s="54">
        <f>C24/7</f>
        <v>349583297.74886405</v>
      </c>
      <c r="D25" s="54">
        <f t="shared" ref="D25:F25" si="9">D24/7</f>
        <v>-91248637.331279978</v>
      </c>
      <c r="E25" s="8"/>
      <c r="F25" s="54">
        <f t="shared" si="9"/>
        <v>99213429.997459173</v>
      </c>
      <c r="G25">
        <f>G24/7</f>
        <v>-256795867.75140491</v>
      </c>
    </row>
    <row r="26" spans="1:7" x14ac:dyDescent="0.25">
      <c r="F26" s="58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6"/>
  <sheetViews>
    <sheetView workbookViewId="0">
      <selection activeCell="L3" sqref="L3"/>
    </sheetView>
  </sheetViews>
  <sheetFormatPr defaultRowHeight="15" x14ac:dyDescent="0.25"/>
  <cols>
    <col min="1" max="1" width="36" customWidth="1"/>
    <col min="2" max="2" width="16.140625" customWidth="1"/>
    <col min="3" max="3" width="13.42578125" customWidth="1"/>
    <col min="4" max="4" width="15.5703125" customWidth="1"/>
    <col min="5" max="5" width="12.85546875" customWidth="1"/>
    <col min="6" max="6" width="14.42578125" customWidth="1"/>
    <col min="7" max="7" width="13.42578125" customWidth="1"/>
    <col min="8" max="8" width="13.28515625" customWidth="1"/>
    <col min="9" max="9" width="14.85546875" customWidth="1"/>
    <col min="10" max="10" width="14.5703125" customWidth="1"/>
    <col min="11" max="11" width="14.7109375" customWidth="1"/>
    <col min="12" max="12" width="14.28515625" customWidth="1"/>
  </cols>
  <sheetData>
    <row r="1" spans="1:12" ht="77.25" x14ac:dyDescent="0.25">
      <c r="B1" t="s">
        <v>84</v>
      </c>
      <c r="C1" s="55" t="s">
        <v>85</v>
      </c>
      <c r="D1" t="s">
        <v>127</v>
      </c>
      <c r="E1" s="55" t="s">
        <v>86</v>
      </c>
      <c r="F1" s="55" t="s">
        <v>87</v>
      </c>
      <c r="G1" s="55" t="s">
        <v>88</v>
      </c>
      <c r="H1" s="55" t="s">
        <v>89</v>
      </c>
      <c r="I1" s="55" t="s">
        <v>90</v>
      </c>
      <c r="J1" s="55" t="s">
        <v>91</v>
      </c>
      <c r="K1" s="55" t="s">
        <v>92</v>
      </c>
      <c r="L1" s="55" t="s">
        <v>93</v>
      </c>
    </row>
    <row r="2" spans="1:12" x14ac:dyDescent="0.25">
      <c r="A2" t="s">
        <v>94</v>
      </c>
      <c r="B2" s="56">
        <f>F19/5*12</f>
        <v>57139721949.600006</v>
      </c>
      <c r="C2" s="56">
        <f>D2+B2/12*2</f>
        <v>13332601788.240002</v>
      </c>
      <c r="D2" s="57">
        <f>F19/5*0.8</f>
        <v>3809314796.6400003</v>
      </c>
      <c r="E2" s="56">
        <f>C2*0.1</f>
        <v>1333260178.8240004</v>
      </c>
      <c r="F2" s="56">
        <f>C2*0.3</f>
        <v>3999780536.4720001</v>
      </c>
      <c r="G2" s="56">
        <f>C2+B2/12*2</f>
        <v>22855888779.840004</v>
      </c>
      <c r="H2" s="56">
        <f>G2*0.1</f>
        <v>2285588877.9840007</v>
      </c>
      <c r="I2" s="56">
        <f>G2*0.3</f>
        <v>6856766633.9520006</v>
      </c>
      <c r="J2" s="56">
        <f>C2+B2/12*4</f>
        <v>32379175771.440002</v>
      </c>
      <c r="K2" s="58">
        <f>J2*0.1</f>
        <v>3237917577.1440005</v>
      </c>
      <c r="L2" s="58">
        <f>J2*0.3</f>
        <v>9713752731.4320011</v>
      </c>
    </row>
    <row r="3" spans="1:12" x14ac:dyDescent="0.25">
      <c r="A3" t="s">
        <v>95</v>
      </c>
      <c r="B3" s="59"/>
      <c r="C3" s="59"/>
      <c r="D3" s="60">
        <v>0</v>
      </c>
      <c r="E3" s="56">
        <v>0</v>
      </c>
      <c r="F3" s="56"/>
      <c r="G3" s="56"/>
      <c r="H3" s="56">
        <v>0</v>
      </c>
      <c r="I3" s="56"/>
      <c r="J3" s="56"/>
      <c r="K3" s="58"/>
      <c r="L3" s="58"/>
    </row>
    <row r="4" spans="1:12" ht="14.25" customHeight="1" x14ac:dyDescent="0.25">
      <c r="A4" t="s">
        <v>96</v>
      </c>
      <c r="B4" s="56">
        <f>B2</f>
        <v>57139721949.600006</v>
      </c>
      <c r="C4" s="56">
        <f>C2</f>
        <v>13332601788.240002</v>
      </c>
      <c r="D4" s="57">
        <f>D2</f>
        <v>3809314796.6400003</v>
      </c>
      <c r="E4" s="56">
        <f>E2</f>
        <v>1333260178.8240004</v>
      </c>
      <c r="F4" s="56">
        <f t="shared" ref="F4:L4" si="0">F2</f>
        <v>3999780536.4720001</v>
      </c>
      <c r="G4" s="56">
        <f t="shared" si="0"/>
        <v>22855888779.840004</v>
      </c>
      <c r="H4" s="56">
        <f t="shared" si="0"/>
        <v>2285588877.9840007</v>
      </c>
      <c r="I4" s="56">
        <f t="shared" si="0"/>
        <v>6856766633.9520006</v>
      </c>
      <c r="J4" s="56">
        <f t="shared" si="0"/>
        <v>32379175771.440002</v>
      </c>
      <c r="K4" s="58">
        <f t="shared" si="0"/>
        <v>3237917577.1440005</v>
      </c>
      <c r="L4" s="58">
        <f t="shared" si="0"/>
        <v>9713752731.4320011</v>
      </c>
    </row>
    <row r="5" spans="1:12" x14ac:dyDescent="0.25">
      <c r="A5" t="s">
        <v>97</v>
      </c>
      <c r="B5" s="56">
        <f>F22/F21*B2</f>
        <v>38553060739.200005</v>
      </c>
      <c r="C5" s="56">
        <f>B5/B4*C4</f>
        <v>8995714172.4800014</v>
      </c>
      <c r="D5" s="60">
        <f>B5/B2*D2</f>
        <v>2570204049.2800002</v>
      </c>
      <c r="E5" s="56">
        <f>D5*3*0.2</f>
        <v>1542122429.5680001</v>
      </c>
      <c r="F5" s="56">
        <f>B5/B2*F4</f>
        <v>2698714251.7440004</v>
      </c>
      <c r="G5" s="56">
        <f>B5/B4*G4</f>
        <v>15421224295.680004</v>
      </c>
      <c r="H5" s="56">
        <f>E5</f>
        <v>1542122429.5680001</v>
      </c>
      <c r="I5" s="56">
        <f>B5/B4*I4</f>
        <v>4626367288.7040005</v>
      </c>
      <c r="J5" s="56">
        <f>B5/B4*J4</f>
        <v>21846734418.880001</v>
      </c>
      <c r="K5" s="58">
        <f>H5</f>
        <v>1542122429.5680001</v>
      </c>
      <c r="L5" s="58">
        <f>B5/B2*L4</f>
        <v>6554020325.6640015</v>
      </c>
    </row>
    <row r="6" spans="1:12" ht="14.25" customHeight="1" x14ac:dyDescent="0.25">
      <c r="A6" t="s">
        <v>98</v>
      </c>
      <c r="B6" s="56">
        <f>B4-B5</f>
        <v>18586661210.400002</v>
      </c>
      <c r="C6" s="56">
        <f t="shared" ref="C6:L6" si="1">C4-C5</f>
        <v>4336887615.7600002</v>
      </c>
      <c r="D6" s="60">
        <f t="shared" si="1"/>
        <v>1239110747.3600001</v>
      </c>
      <c r="E6" s="56">
        <f t="shared" si="1"/>
        <v>-208862250.74399972</v>
      </c>
      <c r="F6" s="56">
        <f t="shared" si="1"/>
        <v>1301066284.7279997</v>
      </c>
      <c r="G6" s="56">
        <f t="shared" si="1"/>
        <v>7434664484.1599998</v>
      </c>
      <c r="H6" s="56">
        <f t="shared" si="1"/>
        <v>743466448.4160006</v>
      </c>
      <c r="I6" s="56">
        <f t="shared" si="1"/>
        <v>2230399345.2480001</v>
      </c>
      <c r="J6" s="56">
        <f t="shared" si="1"/>
        <v>10532441352.560001</v>
      </c>
      <c r="K6" s="58">
        <f t="shared" si="1"/>
        <v>1695795147.5760005</v>
      </c>
      <c r="L6" s="58">
        <f t="shared" si="1"/>
        <v>3159732405.7679996</v>
      </c>
    </row>
    <row r="7" spans="1:12" x14ac:dyDescent="0.25">
      <c r="A7" t="s">
        <v>99</v>
      </c>
      <c r="B7" s="56">
        <f>F24/F19*B2</f>
        <v>1924843.2000000002</v>
      </c>
      <c r="C7" s="56">
        <v>0</v>
      </c>
      <c r="D7" s="60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/>
      <c r="K7" s="58">
        <v>0</v>
      </c>
      <c r="L7" s="58">
        <v>0</v>
      </c>
    </row>
    <row r="8" spans="1:12" x14ac:dyDescent="0.25">
      <c r="A8" t="s">
        <v>100</v>
      </c>
      <c r="B8" s="56">
        <f>F25/F19*B2</f>
        <v>71883300.000000015</v>
      </c>
      <c r="C8" s="56">
        <f>B8/B4*C4</f>
        <v>16772770.000000004</v>
      </c>
      <c r="D8" s="60">
        <f>B8/B2*D2</f>
        <v>4792220.0000000009</v>
      </c>
      <c r="E8" s="56">
        <f>D8*3</f>
        <v>14376660.000000004</v>
      </c>
      <c r="F8" s="56">
        <f>C8</f>
        <v>16772770.000000004</v>
      </c>
      <c r="G8" s="56">
        <f>B8/B2*G2</f>
        <v>28753320.000000007</v>
      </c>
      <c r="H8" s="56">
        <f>D8*5</f>
        <v>23961100.000000004</v>
      </c>
      <c r="I8" s="56">
        <f>G8</f>
        <v>28753320.000000007</v>
      </c>
      <c r="J8" s="56">
        <f>B8/B2*J2</f>
        <v>40733870.000000007</v>
      </c>
      <c r="K8" s="58">
        <f>D8*7</f>
        <v>33545540.000000007</v>
      </c>
      <c r="L8" s="58">
        <f>J8</f>
        <v>40733870.000000007</v>
      </c>
    </row>
    <row r="9" spans="1:12" x14ac:dyDescent="0.25">
      <c r="A9" t="s">
        <v>101</v>
      </c>
      <c r="B9" s="56">
        <f>F28/F19*B2*3/4</f>
        <v>2534264488.8000002</v>
      </c>
      <c r="C9" s="56">
        <f>B9/B2*C2+D9</f>
        <v>760279346.6400001</v>
      </c>
      <c r="D9" s="60">
        <f>B9/B2*D2</f>
        <v>168950965.92000002</v>
      </c>
      <c r="E9" s="56">
        <f>D9*3*2/3</f>
        <v>337901931.84000003</v>
      </c>
      <c r="F9" s="56">
        <f>B9/B2*F2</f>
        <v>177398514.21600002</v>
      </c>
      <c r="G9" s="56">
        <f>B9/B2*G2</f>
        <v>1013705795.5200002</v>
      </c>
      <c r="H9" s="56">
        <f>E9+(70000000+69444444+1036315+115358333+87500000+3617989+50000000+158333333+3346092+180000000)*2</f>
        <v>1815174943.8400002</v>
      </c>
      <c r="I9" s="56">
        <f>B9/B2*I2</f>
        <v>304111738.65600002</v>
      </c>
      <c r="J9" s="56">
        <f>B9/B2*J2</f>
        <v>1436083210.3200002</v>
      </c>
      <c r="K9" s="58">
        <f>(70000000+69444444+1036315+115358333+87500000+3617989+50000000+158333333+3346092+180000000)*4+E9</f>
        <v>3292447955.8400002</v>
      </c>
      <c r="L9" s="58">
        <f>B9/B2*L2</f>
        <v>430824963.09600008</v>
      </c>
    </row>
    <row r="10" spans="1:12" x14ac:dyDescent="0.25">
      <c r="A10" t="s">
        <v>77</v>
      </c>
      <c r="B10" s="56">
        <f>F27/F19*B2*1/2</f>
        <v>582187394.4000001</v>
      </c>
      <c r="C10" s="56">
        <f>B10/B2*C2+D10</f>
        <v>174656218.32000002</v>
      </c>
      <c r="D10" s="60">
        <f>B10/B2*D2</f>
        <v>38812492.960000008</v>
      </c>
      <c r="E10" s="56">
        <f>B10/B2*E2</f>
        <v>13584372.536000004</v>
      </c>
      <c r="F10" s="56">
        <f>B10/B2*F2</f>
        <v>40753117.608000003</v>
      </c>
      <c r="G10" s="56">
        <f>B10/B2*G2</f>
        <v>232874957.76000005</v>
      </c>
      <c r="H10" s="56">
        <f>B10/B2*H2</f>
        <v>23287495.776000008</v>
      </c>
      <c r="I10" s="56">
        <f>B10/B2*I2</f>
        <v>69862487.328000009</v>
      </c>
      <c r="J10" s="56">
        <f>B10/B2*J2</f>
        <v>329906190.16000003</v>
      </c>
      <c r="K10" s="58">
        <f>B10/B2*K2</f>
        <v>32990619.016000006</v>
      </c>
      <c r="L10" s="58">
        <f>B10/B2*L2</f>
        <v>98971857.048000023</v>
      </c>
    </row>
    <row r="11" spans="1:12" x14ac:dyDescent="0.25">
      <c r="A11" t="s">
        <v>102</v>
      </c>
      <c r="B11" s="56">
        <f>B6+B7-B8-B9-B10</f>
        <v>15400250870.400003</v>
      </c>
      <c r="C11" s="56">
        <f>C6-C8-C9-C10</f>
        <v>3385179280.7999997</v>
      </c>
      <c r="D11" s="60">
        <f>D6-D8-D9-D10</f>
        <v>1026555068.48</v>
      </c>
      <c r="E11" s="56">
        <f>E6-E9-E10-E8</f>
        <v>-574725215.11999977</v>
      </c>
      <c r="F11" s="56">
        <f>F6-F8-F9-F10</f>
        <v>1066141882.9039996</v>
      </c>
      <c r="G11" s="56">
        <f>G6-G8-G9-G10</f>
        <v>6159330410.8799992</v>
      </c>
      <c r="H11" s="56">
        <f>H6-H9-H10-H8</f>
        <v>-1118957091.1999996</v>
      </c>
      <c r="I11" s="56">
        <f>I6-I9-I8-I10</f>
        <v>1827671799.2639999</v>
      </c>
      <c r="J11" s="56">
        <f>J6-J8-J9-J10</f>
        <v>8725718082.0800018</v>
      </c>
      <c r="K11" s="58">
        <f>K6-K9-K8-K10</f>
        <v>-1663188967.2799997</v>
      </c>
      <c r="L11" s="58">
        <f>L6-L8-L9-L10</f>
        <v>2589201715.6239996</v>
      </c>
    </row>
    <row r="12" spans="1:12" x14ac:dyDescent="0.25">
      <c r="A12" t="s">
        <v>103</v>
      </c>
      <c r="B12" s="56">
        <f>F30/F19*B2</f>
        <v>141077700.00000003</v>
      </c>
      <c r="C12" s="56">
        <v>0</v>
      </c>
      <c r="D12" s="60">
        <v>0</v>
      </c>
      <c r="E12" s="56">
        <v>0</v>
      </c>
      <c r="F12" s="56">
        <v>0</v>
      </c>
      <c r="G12" s="56"/>
      <c r="H12" s="56"/>
      <c r="I12" s="56"/>
      <c r="J12" s="56"/>
      <c r="K12" s="58"/>
      <c r="L12" s="58"/>
    </row>
    <row r="13" spans="1:12" x14ac:dyDescent="0.25">
      <c r="A13" t="s">
        <v>104</v>
      </c>
      <c r="B13" s="56">
        <v>0</v>
      </c>
      <c r="C13" s="56">
        <v>0</v>
      </c>
      <c r="D13" s="60">
        <v>0</v>
      </c>
      <c r="E13" s="56">
        <v>0</v>
      </c>
      <c r="F13" s="56">
        <v>0</v>
      </c>
      <c r="G13" s="56"/>
      <c r="H13" s="56"/>
      <c r="I13" s="56"/>
      <c r="J13" s="56"/>
      <c r="K13" s="58"/>
      <c r="L13" s="58"/>
    </row>
    <row r="14" spans="1:12" x14ac:dyDescent="0.25">
      <c r="A14" t="s">
        <v>105</v>
      </c>
      <c r="B14" s="56">
        <f>B12</f>
        <v>141077700.00000003</v>
      </c>
      <c r="C14" s="56">
        <v>0</v>
      </c>
      <c r="D14" s="60">
        <v>0</v>
      </c>
      <c r="E14" s="56">
        <v>0</v>
      </c>
      <c r="F14" s="56">
        <v>0</v>
      </c>
      <c r="G14" s="56"/>
      <c r="H14" s="56"/>
      <c r="I14" s="56"/>
      <c r="J14" s="56"/>
      <c r="K14" s="58"/>
      <c r="L14" s="58"/>
    </row>
    <row r="15" spans="1:12" x14ac:dyDescent="0.25">
      <c r="A15" t="s">
        <v>106</v>
      </c>
      <c r="B15" s="56">
        <f>B11+B14</f>
        <v>15541328570.400003</v>
      </c>
      <c r="C15" s="56">
        <f t="shared" ref="C15:L15" si="2">C11</f>
        <v>3385179280.7999997</v>
      </c>
      <c r="D15" s="60">
        <f t="shared" si="2"/>
        <v>1026555068.48</v>
      </c>
      <c r="E15" s="56">
        <f t="shared" si="2"/>
        <v>-574725215.11999977</v>
      </c>
      <c r="F15" s="56">
        <f t="shared" si="2"/>
        <v>1066141882.9039996</v>
      </c>
      <c r="G15" s="56">
        <f t="shared" si="2"/>
        <v>6159330410.8799992</v>
      </c>
      <c r="H15" s="56">
        <f t="shared" si="2"/>
        <v>-1118957091.1999996</v>
      </c>
      <c r="I15" s="56">
        <f t="shared" si="2"/>
        <v>1827671799.2639999</v>
      </c>
      <c r="J15" s="56">
        <f t="shared" si="2"/>
        <v>8725718082.0800018</v>
      </c>
      <c r="K15" s="58">
        <f t="shared" si="2"/>
        <v>-1663188967.2799997</v>
      </c>
      <c r="L15" s="58">
        <f t="shared" si="2"/>
        <v>2589201715.6239996</v>
      </c>
    </row>
    <row r="16" spans="1:12" x14ac:dyDescent="0.25">
      <c r="A16" t="s">
        <v>107</v>
      </c>
      <c r="B16" s="56">
        <f>B15*0.2</f>
        <v>3108265714.0800009</v>
      </c>
      <c r="C16" s="56">
        <f>C15*0.2</f>
        <v>677035856.15999997</v>
      </c>
      <c r="D16" s="60">
        <v>213073512</v>
      </c>
      <c r="E16" s="56"/>
      <c r="F16" s="56">
        <f>F15*0.2</f>
        <v>213228376.58079994</v>
      </c>
      <c r="G16" s="56">
        <f>G15*0.2</f>
        <v>1231866082.1759999</v>
      </c>
      <c r="H16" s="56"/>
      <c r="I16" s="56">
        <f>I15*0.2</f>
        <v>365534359.85280001</v>
      </c>
      <c r="J16" s="56">
        <f>J15*0.2</f>
        <v>1745143616.4160004</v>
      </c>
      <c r="K16" s="58"/>
      <c r="L16" s="58">
        <f>L15*0.2</f>
        <v>517840343.12479997</v>
      </c>
    </row>
    <row r="17" spans="1:12" x14ac:dyDescent="0.25">
      <c r="A17" t="s">
        <v>108</v>
      </c>
      <c r="B17" s="56">
        <f>B15-B16</f>
        <v>12433062856.320004</v>
      </c>
      <c r="C17" s="56">
        <f>C15-C16</f>
        <v>2708143424.6399999</v>
      </c>
      <c r="D17" s="60">
        <f>D15-D16</f>
        <v>813481556.48000002</v>
      </c>
      <c r="E17" s="56">
        <f>E15</f>
        <v>-574725215.11999977</v>
      </c>
      <c r="F17" s="56">
        <f>F15-F16</f>
        <v>852913506.32319963</v>
      </c>
      <c r="G17" s="56">
        <f>G15-G16</f>
        <v>4927464328.7039995</v>
      </c>
      <c r="H17" s="56">
        <f>H15</f>
        <v>-1118957091.1999996</v>
      </c>
      <c r="I17" s="56">
        <f>I15-I16</f>
        <v>1462137439.4112</v>
      </c>
      <c r="J17" s="56">
        <f>J15-J16</f>
        <v>6980574465.6640015</v>
      </c>
      <c r="K17" s="58">
        <f>K15</f>
        <v>-1663188967.2799997</v>
      </c>
      <c r="L17" s="58">
        <f>L15-L16</f>
        <v>2071361372.4991996</v>
      </c>
    </row>
    <row r="19" spans="1:12" x14ac:dyDescent="0.25">
      <c r="A19" s="96" t="s">
        <v>109</v>
      </c>
      <c r="B19" s="96"/>
      <c r="C19" s="96"/>
      <c r="D19" s="96"/>
      <c r="E19" s="96"/>
      <c r="F19" s="61">
        <f>'[1]2019'!$O$14</f>
        <v>23808217479</v>
      </c>
    </row>
    <row r="20" spans="1:12" x14ac:dyDescent="0.25">
      <c r="A20" s="96" t="s">
        <v>110</v>
      </c>
      <c r="B20" s="96"/>
      <c r="C20" s="96"/>
      <c r="D20" s="96"/>
      <c r="E20" s="96"/>
      <c r="F20" s="61">
        <v>0</v>
      </c>
    </row>
    <row r="21" spans="1:12" x14ac:dyDescent="0.25">
      <c r="A21" s="96" t="s">
        <v>111</v>
      </c>
      <c r="B21" s="96"/>
      <c r="C21" s="96"/>
      <c r="D21" s="96"/>
      <c r="E21" s="96"/>
      <c r="F21" s="61">
        <f>F19</f>
        <v>23808217479</v>
      </c>
    </row>
    <row r="22" spans="1:12" x14ac:dyDescent="0.25">
      <c r="A22" s="96" t="s">
        <v>112</v>
      </c>
      <c r="B22" s="96"/>
      <c r="C22" s="96"/>
      <c r="D22" s="96"/>
      <c r="E22" s="96"/>
      <c r="F22" s="61">
        <f>'[1]2019'!$O$17</f>
        <v>16063775308</v>
      </c>
    </row>
    <row r="23" spans="1:12" x14ac:dyDescent="0.25">
      <c r="A23" s="96" t="s">
        <v>113</v>
      </c>
      <c r="B23" s="96"/>
      <c r="C23" s="96"/>
      <c r="D23" s="96"/>
      <c r="E23" s="96"/>
      <c r="F23" s="61">
        <f>F21-F22</f>
        <v>7744442171</v>
      </c>
    </row>
    <row r="24" spans="1:12" x14ac:dyDescent="0.25">
      <c r="A24" s="96" t="s">
        <v>114</v>
      </c>
      <c r="B24" s="96"/>
      <c r="C24" s="96"/>
      <c r="D24" s="96"/>
      <c r="E24" s="96"/>
      <c r="F24" s="61">
        <f>'[1]2019'!$O$19</f>
        <v>802018</v>
      </c>
    </row>
    <row r="25" spans="1:12" x14ac:dyDescent="0.25">
      <c r="A25" s="96" t="s">
        <v>115</v>
      </c>
      <c r="B25" s="96"/>
      <c r="C25" s="96"/>
      <c r="D25" s="96"/>
      <c r="E25" s="96"/>
      <c r="F25" s="61">
        <f>'[1]2019'!$O$20</f>
        <v>29951375</v>
      </c>
    </row>
    <row r="26" spans="1:12" x14ac:dyDescent="0.25">
      <c r="A26" s="96" t="s">
        <v>116</v>
      </c>
      <c r="B26" s="96"/>
      <c r="C26" s="96"/>
      <c r="D26" s="96"/>
      <c r="E26" s="96"/>
      <c r="F26" s="61">
        <f>'[1]2019'!$O$21</f>
        <v>29951375</v>
      </c>
    </row>
    <row r="27" spans="1:12" x14ac:dyDescent="0.25">
      <c r="A27" s="96" t="s">
        <v>117</v>
      </c>
      <c r="B27" s="96"/>
      <c r="C27" s="96"/>
      <c r="D27" s="96"/>
      <c r="E27" s="96"/>
      <c r="F27" s="61">
        <f>'[1]2019'!$O$22</f>
        <v>485156162</v>
      </c>
    </row>
    <row r="28" spans="1:12" x14ac:dyDescent="0.25">
      <c r="A28" s="96" t="s">
        <v>118</v>
      </c>
      <c r="B28" s="96"/>
      <c r="C28" s="96"/>
      <c r="D28" s="96"/>
      <c r="E28" s="96"/>
      <c r="F28" s="61">
        <f>'[1]2019'!$O$23</f>
        <v>1407924716</v>
      </c>
    </row>
    <row r="29" spans="1:12" x14ac:dyDescent="0.25">
      <c r="A29" s="96" t="s">
        <v>119</v>
      </c>
      <c r="B29" s="96"/>
      <c r="C29" s="96"/>
      <c r="D29" s="96"/>
      <c r="E29" s="96"/>
      <c r="F29" s="61">
        <f>F23+F24-F26-F27-F28</f>
        <v>5822211936</v>
      </c>
    </row>
    <row r="30" spans="1:12" x14ac:dyDescent="0.25">
      <c r="A30" s="96" t="s">
        <v>120</v>
      </c>
      <c r="B30" s="96"/>
      <c r="C30" s="96"/>
      <c r="D30" s="96"/>
      <c r="E30" s="96"/>
      <c r="F30" s="61">
        <f>'[1]2019'!$O$25</f>
        <v>58782375</v>
      </c>
    </row>
    <row r="31" spans="1:12" x14ac:dyDescent="0.25">
      <c r="A31" s="96" t="s">
        <v>121</v>
      </c>
      <c r="B31" s="96"/>
      <c r="C31" s="96"/>
      <c r="D31" s="96"/>
      <c r="E31" s="96"/>
      <c r="F31" s="61"/>
    </row>
    <row r="32" spans="1:12" x14ac:dyDescent="0.25">
      <c r="A32" s="96" t="s">
        <v>122</v>
      </c>
      <c r="B32" s="96"/>
      <c r="C32" s="96"/>
      <c r="D32" s="96"/>
      <c r="E32" s="96"/>
      <c r="F32" s="61">
        <f>F30</f>
        <v>58782375</v>
      </c>
    </row>
    <row r="33" spans="1:6" x14ac:dyDescent="0.25">
      <c r="A33" s="96" t="s">
        <v>123</v>
      </c>
      <c r="B33" s="96"/>
      <c r="C33" s="96"/>
      <c r="D33" s="96"/>
      <c r="E33" s="96"/>
      <c r="F33" s="61">
        <f>F29+F32</f>
        <v>5880994311</v>
      </c>
    </row>
    <row r="34" spans="1:6" x14ac:dyDescent="0.25">
      <c r="A34" s="96" t="s">
        <v>124</v>
      </c>
      <c r="B34" s="96"/>
      <c r="C34" s="96"/>
      <c r="D34" s="96"/>
      <c r="E34" s="96"/>
      <c r="F34" s="61"/>
    </row>
    <row r="35" spans="1:6" x14ac:dyDescent="0.25">
      <c r="A35" s="96" t="s">
        <v>125</v>
      </c>
      <c r="B35" s="96"/>
      <c r="C35" s="96"/>
      <c r="D35" s="96"/>
      <c r="E35" s="96"/>
      <c r="F35" s="61"/>
    </row>
    <row r="36" spans="1:6" x14ac:dyDescent="0.25">
      <c r="A36" s="96" t="s">
        <v>126</v>
      </c>
      <c r="B36" s="96"/>
      <c r="C36" s="96"/>
      <c r="D36" s="96"/>
      <c r="E36" s="96"/>
      <c r="F36" s="62">
        <f>F33*0.8</f>
        <v>4704795448.8000002</v>
      </c>
    </row>
  </sheetData>
  <mergeCells count="18">
    <mergeCell ref="A24:E24"/>
    <mergeCell ref="A19:E19"/>
    <mergeCell ref="A20:E20"/>
    <mergeCell ref="A21:E21"/>
    <mergeCell ref="A22:E22"/>
    <mergeCell ref="A23:E23"/>
    <mergeCell ref="A36:E36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F20"/>
  <sheetViews>
    <sheetView workbookViewId="0">
      <selection activeCell="B5" sqref="B5:F20"/>
    </sheetView>
  </sheetViews>
  <sheetFormatPr defaultRowHeight="15" x14ac:dyDescent="0.25"/>
  <cols>
    <col min="2" max="2" width="13.42578125" customWidth="1"/>
    <col min="3" max="3" width="13.42578125" bestFit="1" customWidth="1"/>
    <col min="4" max="4" width="13.140625" bestFit="1" customWidth="1"/>
    <col min="5" max="5" width="12.42578125" bestFit="1" customWidth="1"/>
    <col min="6" max="6" width="16.42578125" customWidth="1"/>
  </cols>
  <sheetData>
    <row r="4" spans="2:6" ht="15.75" thickBot="1" x14ac:dyDescent="0.3"/>
    <row r="5" spans="2:6" ht="114" x14ac:dyDescent="0.25">
      <c r="B5" s="74"/>
      <c r="C5" s="75" t="s">
        <v>136</v>
      </c>
      <c r="D5" s="75" t="s">
        <v>141</v>
      </c>
      <c r="E5" s="76" t="s">
        <v>142</v>
      </c>
      <c r="F5" s="77" t="s">
        <v>146</v>
      </c>
    </row>
    <row r="6" spans="2:6" ht="28.5" x14ac:dyDescent="0.25">
      <c r="B6" s="68" t="s">
        <v>143</v>
      </c>
      <c r="C6" s="70"/>
      <c r="D6" s="70"/>
      <c r="E6" s="78"/>
      <c r="F6" s="2"/>
    </row>
    <row r="7" spans="2:6" ht="30" x14ac:dyDescent="0.25">
      <c r="B7" s="70" t="s">
        <v>137</v>
      </c>
      <c r="C7" s="71">
        <v>2708143425</v>
      </c>
      <c r="D7" s="71">
        <v>-574725215</v>
      </c>
      <c r="E7" s="71">
        <v>852913506</v>
      </c>
      <c r="F7" s="71">
        <f>C7*0.5</f>
        <v>1354071712.5</v>
      </c>
    </row>
    <row r="8" spans="2:6" ht="30" x14ac:dyDescent="0.25">
      <c r="B8" s="70" t="s">
        <v>128</v>
      </c>
      <c r="C8" s="71">
        <v>54000000</v>
      </c>
      <c r="D8" s="71">
        <v>54000000</v>
      </c>
      <c r="E8" s="71">
        <v>54000000</v>
      </c>
      <c r="F8" s="71">
        <v>54000000</v>
      </c>
    </row>
    <row r="9" spans="2:6" ht="45" x14ac:dyDescent="0.25">
      <c r="B9" s="70" t="s">
        <v>138</v>
      </c>
      <c r="C9" s="79">
        <v>947529202.60000002</v>
      </c>
      <c r="D9" s="72" t="s">
        <v>139</v>
      </c>
      <c r="E9" s="71">
        <v>285212122</v>
      </c>
      <c r="F9" s="71">
        <f>(F7-F8)*0.7*0.51</f>
        <v>464125601.36250001</v>
      </c>
    </row>
    <row r="10" spans="2:6" ht="45" x14ac:dyDescent="0.25">
      <c r="B10" s="70" t="s">
        <v>140</v>
      </c>
      <c r="C10" s="80">
        <v>315843067.52999997</v>
      </c>
      <c r="D10" s="46" t="s">
        <v>139</v>
      </c>
      <c r="E10" s="80">
        <v>95070707.25</v>
      </c>
      <c r="F10" s="80">
        <f>F9/3</f>
        <v>154708533.78749999</v>
      </c>
    </row>
    <row r="11" spans="2:6" ht="28.5" x14ac:dyDescent="0.25">
      <c r="B11" s="68" t="s">
        <v>144</v>
      </c>
      <c r="C11" s="69"/>
      <c r="D11" s="69"/>
      <c r="E11" s="69"/>
      <c r="F11" s="2"/>
    </row>
    <row r="12" spans="2:6" ht="30" x14ac:dyDescent="0.25">
      <c r="B12" s="70" t="s">
        <v>137</v>
      </c>
      <c r="C12" s="71">
        <v>4927464329</v>
      </c>
      <c r="D12" s="72"/>
      <c r="E12" s="71">
        <v>1462137439</v>
      </c>
      <c r="F12" s="71">
        <f>C12*0.5</f>
        <v>2463732164.5</v>
      </c>
    </row>
    <row r="13" spans="2:6" ht="30" x14ac:dyDescent="0.25">
      <c r="B13" s="70" t="s">
        <v>128</v>
      </c>
      <c r="C13" s="71">
        <v>90000000</v>
      </c>
      <c r="D13" s="71">
        <v>90000000</v>
      </c>
      <c r="E13" s="71">
        <v>90000000</v>
      </c>
      <c r="F13" s="71">
        <v>90000000</v>
      </c>
    </row>
    <row r="14" spans="2:6" ht="45" x14ac:dyDescent="0.25">
      <c r="B14" s="70" t="s">
        <v>138</v>
      </c>
      <c r="C14" s="71">
        <f>(C12-C13)*0.7*0.51</f>
        <v>1726974765.4529998</v>
      </c>
      <c r="D14" s="72" t="s">
        <v>139</v>
      </c>
      <c r="E14" s="71">
        <v>489853066</v>
      </c>
      <c r="F14" s="71">
        <f>(F12-F13)*0.7*0.51</f>
        <v>847422382.72649992</v>
      </c>
    </row>
    <row r="15" spans="2:6" ht="45" x14ac:dyDescent="0.25">
      <c r="B15" s="70" t="s">
        <v>140</v>
      </c>
      <c r="C15" s="73">
        <f>C14/5</f>
        <v>345394953.09059995</v>
      </c>
      <c r="D15" s="46" t="s">
        <v>139</v>
      </c>
      <c r="E15" s="73">
        <v>97970613</v>
      </c>
      <c r="F15" s="71">
        <f>F14/5</f>
        <v>169484476.54529998</v>
      </c>
    </row>
    <row r="16" spans="2:6" ht="28.5" x14ac:dyDescent="0.25">
      <c r="B16" s="68" t="s">
        <v>145</v>
      </c>
      <c r="C16" s="69"/>
      <c r="D16" s="69"/>
      <c r="E16" s="69"/>
      <c r="F16" s="2"/>
    </row>
    <row r="17" spans="2:6" ht="30" x14ac:dyDescent="0.25">
      <c r="B17" s="70" t="s">
        <v>137</v>
      </c>
      <c r="C17" s="73">
        <v>6980574466</v>
      </c>
      <c r="D17" s="73">
        <v>-1663188967</v>
      </c>
      <c r="E17" s="73">
        <v>2071361372</v>
      </c>
      <c r="F17" s="73">
        <f>C17*0.5</f>
        <v>3490287233</v>
      </c>
    </row>
    <row r="18" spans="2:6" ht="30" x14ac:dyDescent="0.25">
      <c r="B18" s="70" t="s">
        <v>128</v>
      </c>
      <c r="C18" s="71">
        <v>126000000</v>
      </c>
      <c r="D18" s="71">
        <v>126000000</v>
      </c>
      <c r="E18" s="71">
        <v>126000000</v>
      </c>
      <c r="F18" s="71">
        <v>126000000</v>
      </c>
    </row>
    <row r="19" spans="2:6" ht="45" x14ac:dyDescent="0.25">
      <c r="B19" s="70" t="s">
        <v>138</v>
      </c>
      <c r="C19" s="71">
        <v>2447083084</v>
      </c>
      <c r="D19" s="72" t="s">
        <v>139</v>
      </c>
      <c r="E19" s="71">
        <v>694494010</v>
      </c>
      <c r="F19" s="71">
        <f>(F17-F18)*0.7*0.51</f>
        <v>1201050542.181</v>
      </c>
    </row>
    <row r="20" spans="2:6" ht="45" x14ac:dyDescent="0.25">
      <c r="B20" s="70" t="s">
        <v>140</v>
      </c>
      <c r="C20" s="73">
        <v>349583298</v>
      </c>
      <c r="D20" s="46" t="s">
        <v>139</v>
      </c>
      <c r="E20" s="73">
        <v>99213430</v>
      </c>
      <c r="F20" s="71">
        <f>F19/7</f>
        <v>171578648.88299999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 Dũng</vt:lpstr>
      <vt:lpstr>Cơ cấu 3 tháng</vt:lpstr>
      <vt:lpstr>Cơ cấu 6 tháng </vt:lpstr>
      <vt:lpstr>Cơ cấu 9 tháng  </vt:lpstr>
      <vt:lpstr>30.4</vt:lpstr>
      <vt:lpstr>30.6</vt:lpstr>
      <vt:lpstr>30.9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ANNT1</dc:creator>
  <cp:lastModifiedBy>BVCN2</cp:lastModifiedBy>
  <cp:lastPrinted>2020-04-17T09:31:16Z</cp:lastPrinted>
  <dcterms:created xsi:type="dcterms:W3CDTF">2020-04-16T07:36:41Z</dcterms:created>
  <dcterms:modified xsi:type="dcterms:W3CDTF">2020-05-16T09:37:33Z</dcterms:modified>
</cp:coreProperties>
</file>