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EDC7FB1-5537-4210-AB73-E556512B6805}" xr6:coauthVersionLast="47" xr6:coauthVersionMax="47" xr10:uidLastSave="{00000000-0000-0000-0000-000000000000}"/>
  <bookViews>
    <workbookView xWindow="-108" yWindow="-108" windowWidth="23256" windowHeight="12456" activeTab="2" xr2:uid="{22D7BD23-2D55-4607-B145-5E2973C8D1AE}"/>
  </bookViews>
  <sheets>
    <sheet name="Tiệc chia tay NV" sheetId="1" r:id="rId1"/>
    <sheet name="Tiệc chia tay TĐV" sheetId="2" r:id="rId2"/>
    <sheet name="Cơ chế" sheetId="5" r:id="rId3"/>
    <sheet name="DS nghi" sheetId="3" r:id="rId4"/>
  </sheets>
  <definedNames>
    <definedName name="_xlnm._FilterDatabase" localSheetId="2" hidden="1">'Cơ chế'!$W$3:$Y$22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5" l="1"/>
  <c r="W4" i="5" s="1"/>
  <c r="X4" i="5" s="1"/>
  <c r="I5" i="5"/>
  <c r="I6" i="5"/>
  <c r="W6" i="5" s="1"/>
  <c r="I7" i="5"/>
  <c r="I8" i="5"/>
  <c r="W8" i="5" s="1"/>
  <c r="X8" i="5" s="1"/>
  <c r="I9" i="5"/>
  <c r="I10" i="5"/>
  <c r="W10" i="5" s="1"/>
  <c r="I11" i="5"/>
  <c r="W11" i="5" s="1"/>
  <c r="I12" i="5"/>
  <c r="W12" i="5" s="1"/>
  <c r="I13" i="5"/>
  <c r="I14" i="5"/>
  <c r="W14" i="5" s="1"/>
  <c r="X14" i="5" s="1"/>
  <c r="I15" i="5"/>
  <c r="I16" i="5"/>
  <c r="W16" i="5" s="1"/>
  <c r="I17" i="5"/>
  <c r="I18" i="5"/>
  <c r="W18" i="5" s="1"/>
  <c r="X18" i="5" s="1"/>
  <c r="I19" i="5"/>
  <c r="W19" i="5" s="1"/>
  <c r="I20" i="5"/>
  <c r="W20" i="5" s="1"/>
  <c r="I21" i="5"/>
  <c r="U7" i="5"/>
  <c r="U15" i="5"/>
  <c r="W5" i="5"/>
  <c r="X5" i="5" s="1"/>
  <c r="W7" i="5"/>
  <c r="W9" i="5"/>
  <c r="W13" i="5"/>
  <c r="W15" i="5"/>
  <c r="W17" i="5"/>
  <c r="W21" i="5"/>
  <c r="G5" i="5"/>
  <c r="U5" i="5" s="1"/>
  <c r="G6" i="5"/>
  <c r="U6" i="5" s="1"/>
  <c r="G7" i="5"/>
  <c r="G8" i="5"/>
  <c r="U8" i="5" s="1"/>
  <c r="G9" i="5"/>
  <c r="U9" i="5" s="1"/>
  <c r="G10" i="5"/>
  <c r="U10" i="5" s="1"/>
  <c r="G11" i="5"/>
  <c r="U11" i="5" s="1"/>
  <c r="G12" i="5"/>
  <c r="U12" i="5" s="1"/>
  <c r="G13" i="5"/>
  <c r="U13" i="5" s="1"/>
  <c r="G14" i="5"/>
  <c r="U14" i="5" s="1"/>
  <c r="G15" i="5"/>
  <c r="G16" i="5"/>
  <c r="U16" i="5" s="1"/>
  <c r="G17" i="5"/>
  <c r="U17" i="5" s="1"/>
  <c r="G18" i="5"/>
  <c r="U18" i="5" s="1"/>
  <c r="G19" i="5"/>
  <c r="U19" i="5" s="1"/>
  <c r="G20" i="5"/>
  <c r="U20" i="5" s="1"/>
  <c r="G21" i="5"/>
  <c r="U21" i="5" s="1"/>
  <c r="G4" i="5"/>
  <c r="U4" i="5" s="1"/>
  <c r="I12" i="1"/>
  <c r="T16" i="5"/>
  <c r="T21" i="5"/>
  <c r="X21" i="5" l="1"/>
  <c r="X20" i="5"/>
  <c r="X16" i="5"/>
  <c r="V16" i="5"/>
  <c r="V21" i="5"/>
  <c r="Y21" i="5" s="1"/>
  <c r="I6" i="2"/>
  <c r="T20" i="5"/>
  <c r="T19" i="5"/>
  <c r="X19" i="5" s="1"/>
  <c r="T18" i="5"/>
  <c r="T17" i="5"/>
  <c r="X17" i="5" s="1"/>
  <c r="T15" i="5"/>
  <c r="X15" i="5" s="1"/>
  <c r="T14" i="5"/>
  <c r="T13" i="5"/>
  <c r="X13" i="5" s="1"/>
  <c r="T12" i="5"/>
  <c r="X12" i="5" s="1"/>
  <c r="T11" i="5"/>
  <c r="X11" i="5" s="1"/>
  <c r="T10" i="5"/>
  <c r="X10" i="5" s="1"/>
  <c r="T9" i="5"/>
  <c r="X9" i="5" s="1"/>
  <c r="T8" i="5"/>
  <c r="T7" i="5"/>
  <c r="X7" i="5" s="1"/>
  <c r="T6" i="5"/>
  <c r="X6" i="5" s="1"/>
  <c r="T5" i="5"/>
  <c r="T4" i="5"/>
  <c r="V4" i="5" s="1"/>
  <c r="D9" i="2"/>
  <c r="D5" i="2"/>
  <c r="D4" i="2"/>
  <c r="I9" i="2"/>
  <c r="I8" i="2"/>
  <c r="I7" i="2"/>
  <c r="D11" i="2" s="1"/>
  <c r="I15" i="2"/>
  <c r="I16" i="2"/>
  <c r="I17" i="2" s="1"/>
  <c r="I5" i="2"/>
  <c r="I4" i="2"/>
  <c r="I3" i="2"/>
  <c r="D11" i="1"/>
  <c r="D7" i="1"/>
  <c r="D5" i="1"/>
  <c r="D4" i="1"/>
  <c r="D9" i="1"/>
  <c r="D10" i="1"/>
  <c r="I11" i="1"/>
  <c r="I10" i="1"/>
  <c r="I9" i="1"/>
  <c r="I8" i="1"/>
  <c r="I7" i="1"/>
  <c r="I6" i="1"/>
  <c r="I5" i="1"/>
  <c r="I16" i="1" s="1"/>
  <c r="I17" i="1" s="1"/>
  <c r="G16" i="3"/>
  <c r="G4" i="3"/>
  <c r="G5" i="3"/>
  <c r="G6" i="3"/>
  <c r="G7" i="3"/>
  <c r="G8" i="3"/>
  <c r="G9" i="3"/>
  <c r="G10" i="3"/>
  <c r="G11" i="3"/>
  <c r="G12" i="3"/>
  <c r="G13" i="3"/>
  <c r="G14" i="3"/>
  <c r="G15" i="3"/>
  <c r="G17" i="3"/>
  <c r="G18" i="3"/>
  <c r="G19" i="3"/>
  <c r="G20" i="3"/>
  <c r="Y16" i="5" l="1"/>
  <c r="Y12" i="5"/>
  <c r="Y15" i="5"/>
  <c r="V8" i="5"/>
  <c r="Y8" i="5" s="1"/>
  <c r="V12" i="5"/>
  <c r="V13" i="5"/>
  <c r="Y13" i="5" s="1"/>
  <c r="D22" i="1"/>
  <c r="D19" i="2" s="1"/>
  <c r="D7" i="2"/>
  <c r="D18" i="2" s="1"/>
  <c r="V5" i="5"/>
  <c r="Y5" i="5" s="1"/>
  <c r="V7" i="5"/>
  <c r="Y7" i="5" s="1"/>
  <c r="V9" i="5"/>
  <c r="Y9" i="5" s="1"/>
  <c r="V11" i="5"/>
  <c r="Y11" i="5" s="1"/>
  <c r="V15" i="5"/>
  <c r="V17" i="5"/>
  <c r="Y17" i="5" s="1"/>
  <c r="V19" i="5"/>
  <c r="Y19" i="5" s="1"/>
  <c r="Y4" i="5"/>
  <c r="V6" i="5"/>
  <c r="Y6" i="5" s="1"/>
  <c r="V10" i="5"/>
  <c r="Y10" i="5" s="1"/>
  <c r="V14" i="5"/>
  <c r="Y14" i="5" s="1"/>
  <c r="V18" i="5"/>
  <c r="Y18" i="5" s="1"/>
  <c r="V20" i="5"/>
  <c r="Y20" i="5" s="1"/>
  <c r="X22" i="5" l="1"/>
  <c r="V22" i="5"/>
  <c r="D20" i="2" s="1"/>
  <c r="D21" i="2" s="1"/>
  <c r="I4" i="1"/>
  <c r="I15" i="1"/>
  <c r="I3" i="1"/>
</calcChain>
</file>

<file path=xl/sharedStrings.xml><?xml version="1.0" encoding="utf-8"?>
<sst xmlns="http://schemas.openxmlformats.org/spreadsheetml/2006/main" count="309" uniqueCount="166">
  <si>
    <t>Tiệc ngọt (Bánh ngọt - Hoa quả - Pizza - nước trái cây)</t>
  </si>
  <si>
    <t>Tầng 4 văn phòng công ty</t>
  </si>
  <si>
    <t>DIỄN BIẾN</t>
  </si>
  <si>
    <t>Mở đầu</t>
  </si>
  <si>
    <t>Diễn biến</t>
  </si>
  <si>
    <t>Phát clip chia tay</t>
  </si>
  <si>
    <t>Nhập tiệc</t>
  </si>
  <si>
    <t>CHỦ ĐỀ</t>
  </si>
  <si>
    <t>MÓN QUÀ</t>
  </si>
  <si>
    <t>THỜI GIAN</t>
  </si>
  <si>
    <t>LOẠI TIỆC</t>
  </si>
  <si>
    <t>ĐỊA ĐIỂM</t>
  </si>
  <si>
    <t>CHUẨN BỊ</t>
  </si>
  <si>
    <t>Nội dung</t>
  </si>
  <si>
    <t>Bích</t>
  </si>
  <si>
    <t>A Thái</t>
  </si>
  <si>
    <t>Ngọc Anh</t>
  </si>
  <si>
    <t>Ngọc Anh - Vân</t>
  </si>
  <si>
    <t>Ngọc Anh - Bích</t>
  </si>
  <si>
    <t>HẠNG MỤC</t>
  </si>
  <si>
    <t>NỘI DUNG</t>
  </si>
  <si>
    <t>THỰC HIỆN</t>
  </si>
  <si>
    <t>CHI PHÍ</t>
  </si>
  <si>
    <t>Số lượng</t>
  </si>
  <si>
    <t>Đơn giá</t>
  </si>
  <si>
    <t>Thành tiền</t>
  </si>
  <si>
    <t>In thiệp</t>
  </si>
  <si>
    <t>Link mua hàng</t>
  </si>
  <si>
    <t>Pizza</t>
  </si>
  <si>
    <t>Hoa quả</t>
  </si>
  <si>
    <t>Tổng</t>
  </si>
  <si>
    <t>Hộp/túi đựng quà</t>
  </si>
  <si>
    <t>TRI ÂN - TIẾP NỐI DI SẢN</t>
  </si>
  <si>
    <t>18h -20h ngày 28/11/2024</t>
  </si>
  <si>
    <t>Tiệc mặn</t>
  </si>
  <si>
    <t>Thảo Viên - Botanic Garden - Số 2-3 Đỗ Đức Dục, Mễ Trì</t>
  </si>
  <si>
    <t>Thiết kế backdop</t>
  </si>
  <si>
    <t>Đặt tiệc</t>
  </si>
  <si>
    <t>Tổng Giám đốc phát biểu</t>
  </si>
  <si>
    <t>Cảm nghĩ của nhân sự dừng lại - lùi xuống vị trí</t>
  </si>
  <si>
    <t xml:space="preserve">Tổng </t>
  </si>
  <si>
    <t>17h -18h30h ngày 25/11/2024</t>
  </si>
  <si>
    <t>Backdrop</t>
  </si>
  <si>
    <t>Bảng trao quà nhân sự &gt;3 năm</t>
  </si>
  <si>
    <t>Đặt bánh gato</t>
  </si>
  <si>
    <t>Đặt mua sạc pin</t>
  </si>
  <si>
    <t>Tuyên bố lý do</t>
  </si>
  <si>
    <t>Anh Thái chia sẻ</t>
  </si>
  <si>
    <t>Tặng quà tri ân</t>
  </si>
  <si>
    <t>Nhân sự chia sẻ</t>
  </si>
  <si>
    <t>Chụp ảnh</t>
  </si>
  <si>
    <t>Tiệc nhẹ</t>
  </si>
  <si>
    <t>Bích - Nam</t>
  </si>
  <si>
    <t>Bích Nam</t>
  </si>
  <si>
    <t>Vân</t>
  </si>
  <si>
    <t>BẢNG TÍNH CƠ CHẾ HỖ TRỢ CẮT GIẢM NHÂN SỰ TÁI CẤU TRÚC</t>
  </si>
  <si>
    <t>STT</t>
  </si>
  <si>
    <t>Mã NV</t>
  </si>
  <si>
    <t>Họ và tên</t>
  </si>
  <si>
    <t>Chức vụ</t>
  </si>
  <si>
    <t>Phòng</t>
  </si>
  <si>
    <t>Ngày vào công ty</t>
  </si>
  <si>
    <t>Ngày bắt đầu nghỉ</t>
  </si>
  <si>
    <t>Đề xuất</t>
  </si>
  <si>
    <t>Ghi chú</t>
  </si>
  <si>
    <t>VP0920-0006</t>
  </si>
  <si>
    <t>Vy Thị Trang</t>
  </si>
  <si>
    <t>Nhân viên CSKH</t>
  </si>
  <si>
    <t>06. DVKH</t>
  </si>
  <si>
    <t>290424-1949</t>
  </si>
  <si>
    <t>Chu Thị Sen</t>
  </si>
  <si>
    <t>Nhân viên CSTN</t>
  </si>
  <si>
    <t>Không thuộc diện cắt giảm, chủ động xin nghỉ vì tải tăng</t>
  </si>
  <si>
    <t>290624-1953</t>
  </si>
  <si>
    <t>Cao Thị Vân</t>
  </si>
  <si>
    <t>VP0724-1971</t>
  </si>
  <si>
    <t>Dương Thị Là</t>
  </si>
  <si>
    <t>Chuyên viên đào tạo</t>
  </si>
  <si>
    <t>03. DT</t>
  </si>
  <si>
    <t>VP1123-1915</t>
  </si>
  <si>
    <t>Vũ Thị Hồng Ánh</t>
  </si>
  <si>
    <t>CV Tuyển dụng</t>
  </si>
  <si>
    <t>12. TD</t>
  </si>
  <si>
    <t>VP0523-1068</t>
  </si>
  <si>
    <t>Nguyễn Thùy Dung</t>
  </si>
  <si>
    <t>Nhân viên QC</t>
  </si>
  <si>
    <t>07. QC</t>
  </si>
  <si>
    <t>290222-0055a</t>
  </si>
  <si>
    <t>Nguyễn Bá Thế</t>
  </si>
  <si>
    <t>Nhân viên QLTN</t>
  </si>
  <si>
    <t>03.2.KV Nguyên Xá</t>
  </si>
  <si>
    <t>290521-0029</t>
  </si>
  <si>
    <t>Đỗ Ngọc Long</t>
  </si>
  <si>
    <t>01.1.KV MĐ-MT</t>
  </si>
  <si>
    <t>290323-0150</t>
  </si>
  <si>
    <t>Tho Thị Vân</t>
  </si>
  <si>
    <t>Nhân viên tư vấn</t>
  </si>
  <si>
    <t>290522-0073</t>
  </si>
  <si>
    <t>Nguyễn Thị Hoa</t>
  </si>
  <si>
    <t>290324-1928</t>
  </si>
  <si>
    <t>Phan Anh Hiếu</t>
  </si>
  <si>
    <t>02.2.KV Kim Giang</t>
  </si>
  <si>
    <t>290724-1979</t>
  </si>
  <si>
    <t>Lê Minh Chiến</t>
  </si>
  <si>
    <t>Trưởng phòng KD</t>
  </si>
  <si>
    <t>02.3.KV Yên Xá</t>
  </si>
  <si>
    <t>VP0824-1989</t>
  </si>
  <si>
    <t>Nguyễn Thị Ngọc Hoa</t>
  </si>
  <si>
    <t>Admin</t>
  </si>
  <si>
    <t>08. KD</t>
  </si>
  <si>
    <t>290724-1980</t>
  </si>
  <si>
    <t>Nguyễn Văn Hiếu</t>
  </si>
  <si>
    <t>Chuyển sang PTMB</t>
  </si>
  <si>
    <t>290424-1940</t>
  </si>
  <si>
    <t>Nguyễn Văn Hoàng</t>
  </si>
  <si>
    <t>01.2.KV Hà Đông</t>
  </si>
  <si>
    <t>290924-2002</t>
  </si>
  <si>
    <t>Nguyễn Ngọc Duy</t>
  </si>
  <si>
    <t>03.1.Team LKC</t>
  </si>
  <si>
    <t>290423-1058</t>
  </si>
  <si>
    <t>Vũ Đình Chiến</t>
  </si>
  <si>
    <t>Thời gian làm việc</t>
  </si>
  <si>
    <t>Hồng</t>
  </si>
  <si>
    <t>Đen</t>
  </si>
  <si>
    <t>Nước uống (Gạo, cam)</t>
  </si>
  <si>
    <t>Quà du lịch 3N2Đ</t>
  </si>
  <si>
    <t>Bảng trao quà du lịch</t>
  </si>
  <si>
    <t>Sạc pin dự phòng dán logo cty</t>
  </si>
  <si>
    <t>Bánh gato</t>
  </si>
  <si>
    <t>Nhân sự &gt;3năm: Chuyến du lịch 3N2Đ</t>
  </si>
  <si>
    <t>NS nghỉ: 1 thiệp cám ơn + sạc pin dự phòng in logo</t>
  </si>
  <si>
    <t>Tri ân - cống hiến - thành công</t>
  </si>
  <si>
    <t>Bảng trao quà</t>
  </si>
  <si>
    <t>Tặng quà</t>
  </si>
  <si>
    <t>TĐV xuống vị trí: 5 triệu đồng (Nhưỡng + Ngân + Yên + Hiếu Triệu)</t>
  </si>
  <si>
    <t>TĐV nghỉ: 1 thiệp cám ơn + sạc pin dự phòng in logo (Duy Anh + Chiến)</t>
  </si>
  <si>
    <t>Tháng 1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</si>
  <si>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</si>
  <si>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</si>
  <si>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</si>
  <si>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</si>
  <si>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</si>
  <si>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</si>
  <si>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</si>
  <si>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</si>
  <si>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</si>
  <si>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Lương BQ năm</t>
  </si>
  <si>
    <t>Tỷ lệ</t>
  </si>
  <si>
    <t>Chi phí chia tay NV</t>
  </si>
  <si>
    <t>Cơ chế hỗ trợ NS nghỉ</t>
  </si>
  <si>
    <t>Tổng chi phí</t>
  </si>
  <si>
    <t>Nếu + 4 Nhân sự đề xuất chuyển sang PTMB ko phù hợp thì cộng thêm 940k nữa</t>
  </si>
  <si>
    <t>KỊCH BẢN TIỆC CHIA TAY NHÂN VIÊN</t>
  </si>
  <si>
    <t>KỊCH BẢN TIỆC CHIA TAY TĐV</t>
  </si>
  <si>
    <t>Sạc pin dự logo cty</t>
  </si>
  <si>
    <t>VP0724-1975</t>
  </si>
  <si>
    <t>Đào Duy Tuấn Anh</t>
  </si>
  <si>
    <t>Trưởng phòng MKT</t>
  </si>
  <si>
    <t>05. MKT</t>
  </si>
  <si>
    <t>a Thái - Mạnh</t>
  </si>
  <si>
    <t>Tặng quà Tri ân</t>
  </si>
  <si>
    <t>Ngày chính thức</t>
  </si>
  <si>
    <t>Thời gian LV chính thức</t>
  </si>
  <si>
    <t>Lương hỗ trợ tính cả TV</t>
  </si>
  <si>
    <t>Lương hỗ trợ tính chính thức</t>
  </si>
  <si>
    <t>Chênh lệch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</si>
</sst>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2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b/>
      <sz val="18"/>
      <color theme="1"/>
      <name val="Calibri"/>
      <family val="2"/>
      <charset val="163"/>
      <scheme val="minor"/>
    </font>
    <font>
      <u/>
      <sz val="11"/>
      <color theme="10"/>
      <name val="Calibri"/>
      <family val="2"/>
      <charset val="163"/>
      <scheme val="minor"/>
    </font>
    <font>
      <sz val="11"/>
      <color theme="1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b/>
      <sz val="11"/>
      <color theme="0"/>
      <name val="Times New Roman"/>
      <family val="1"/>
      <charset val="163"/>
    </font>
    <font>
      <sz val="10"/>
      <color theme="1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sz val="11"/>
      <color theme="1"/>
      <name val="Times New Roman"/>
      <family val="1"/>
    </font>
    <font>
      <sz val="11"/>
      <color rgb="FFFF0000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theme="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vertical="center"/>
    </xf>
    <xf numFmtId="164" fontId="0" fillId="0" borderId="0" xfId="1" applyNumberFormat="1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2" fillId="2" borderId="3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2" fillId="0" borderId="0" xfId="1" applyNumberFormat="1" applyFont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0" fontId="4" fillId="0" borderId="0" xfId="2" applyAlignment="1">
      <alignment vertical="center"/>
    </xf>
    <xf numFmtId="164" fontId="0" fillId="0" borderId="1" xfId="1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1" xfId="1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64" fontId="5" fillId="0" borderId="0" xfId="1" applyNumberFormat="1" applyFont="1" applyAlignment="1">
      <alignment vertical="center"/>
    </xf>
    <xf numFmtId="14" fontId="5" fillId="0" borderId="0" xfId="0" applyNumberFormat="1" applyFont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7" fillId="0" borderId="5" xfId="1" applyNumberFormat="1" applyFont="1" applyFill="1" applyBorder="1" applyAlignment="1">
      <alignment horizontal="center" vertical="center" wrapText="1"/>
    </xf>
    <xf numFmtId="164" fontId="7" fillId="0" borderId="7" xfId="1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64" fontId="5" fillId="0" borderId="1" xfId="1" applyNumberFormat="1" applyFont="1" applyFill="1" applyBorder="1" applyAlignment="1">
      <alignment vertical="center"/>
    </xf>
    <xf numFmtId="164" fontId="5" fillId="0" borderId="1" xfId="1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164" fontId="5" fillId="0" borderId="4" xfId="1" applyNumberFormat="1" applyFont="1" applyFill="1" applyBorder="1" applyAlignment="1">
      <alignment vertic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vertical="center"/>
    </xf>
    <xf numFmtId="164" fontId="9" fillId="0" borderId="11" xfId="1" applyNumberFormat="1" applyFont="1" applyFill="1" applyBorder="1" applyAlignment="1">
      <alignment vertical="center"/>
    </xf>
    <xf numFmtId="164" fontId="9" fillId="0" borderId="12" xfId="0" applyNumberFormat="1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63"/>
        <scheme val="none"/>
      </font>
      <numFmt numFmtId="165" formatCode="0.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63"/>
        <scheme val="none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name val="Times New Roman"/>
        <family val="1"/>
        <charset val="163"/>
        <scheme val="none"/>
      </font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63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charset val="163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63"/>
        <scheme val="none"/>
      </font>
      <numFmt numFmtId="165" formatCode="0.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name val="Times New Roman"/>
        <family val="1"/>
        <charset val="163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charset val="163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charset val="163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163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charset val="163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charset val="16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charset val="163"/>
        <scheme val="none"/>
      </font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family val="1"/>
        <charset val="16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63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charset val="16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charset val="163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63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63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63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63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63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63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63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63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63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63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charset val="163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charset val="163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charset val="163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charset val="163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163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charset val="163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charset val="16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charset val="163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family val="1"/>
        <charset val="16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65B0AFC-7703-4316-AEDA-61A3DC569AF7}" name="Table1" displayName="Table1" ref="A3:V22" totalsRowShown="0" headerRowDxfId="42" dataDxfId="40" headerRowBorderDxfId="41" tableBorderDxfId="39" totalsRowBorderDxfId="38">
  <autoFilter ref="A3:V22" xr:uid="{7D697DFE-4024-45F1-BF36-2DFD2FEE232C}"/>
  <tableColumns count="22">
    <tableColumn id="1" xr3:uid="{985D1DC6-0BAB-43BC-B964-041B2D4BFBE3}" name="STT" dataDxfId="37"/>
    <tableColumn id="2" xr3:uid="{8ABC3472-835D-40A6-8859-6C91B6BAB4AF}" name="Mã NV" dataDxfId="36"/>
    <tableColumn id="3" xr3:uid="{053D0A8E-43AF-4AE8-935A-651FF2AF0CC3}" name="Họ và tên" dataDxfId="35"/>
    <tableColumn id="4" xr3:uid="{88333935-5961-4779-8E4C-5DF7DC4AA4C6}" name="Chức vụ" dataDxfId="34"/>
    <tableColumn id="5" xr3:uid="{413C3A8C-70E4-46F9-9F3C-77EB693729CF}" name="Phòng" dataDxfId="33"/>
    <tableColumn id="6" xr3:uid="{166B72EE-B242-4F1E-835C-F84EE1355AF2}" name="Ngày vào công ty" dataDxfId="32"/>
    <tableColumn id="22" xr3:uid="{06A3B025-AC33-4B62-8B6B-A83E565AC43F}" name="Thời gian làm việc" dataDxfId="0"/>
    <tableColumn id="21" xr3:uid="{6E368E96-8127-4114-A467-BD3D85A892B8}" name="Ngày chính thức" dataDxfId="2"/>
    <tableColumn id="7" xr3:uid="{A01D5399-52E7-447D-84F0-73EAD59F230C}" name="Thời gian LV chính thức" dataDxfId="31"/>
    <tableColumn id="8" xr3:uid="{D30D62D2-F430-403D-8902-9B0D08127DE0}" name="Tháng 1" dataDxfId="30" dataCellStyle="Comma"/>
    <tableColumn id="9" xr3:uid="{D5101FAB-BA4C-45E8-9012-4BFD8F82C402}" name="Tháng 2" dataDxfId="29" dataCellStyle="Comma"/>
    <tableColumn id="10" xr3:uid="{B26927FB-C3E1-4EAE-86EA-478AB2813A04}" name="Tháng 3" dataDxfId="28" dataCellStyle="Comma"/>
    <tableColumn id="11" xr3:uid="{5D0DB01D-1075-45B9-9460-878E075B8637}" name="Tháng 4" dataDxfId="27" dataCellStyle="Comma"/>
    <tableColumn id="12" xr3:uid="{E3562792-58DC-414D-A3A3-6B4A8AD8C5A5}" name="Tháng 5" dataDxfId="26" dataCellStyle="Comma"/>
    <tableColumn id="13" xr3:uid="{F7671828-BC11-482C-851A-1FF9542D6F3C}" name="Tháng 6" dataDxfId="25" dataCellStyle="Comma"/>
    <tableColumn id="14" xr3:uid="{26016EEB-4AF7-4685-9D60-4AC5D8F42564}" name="Tháng 7" dataDxfId="24" dataCellStyle="Comma"/>
    <tableColumn id="15" xr3:uid="{2985A3F5-3545-463B-B114-5AE47D122099}" name="Tháng 8" dataDxfId="23" dataCellStyle="Comma"/>
    <tableColumn id="16" xr3:uid="{0D7C3EF1-B363-463C-BE7C-22250EB638C7}" name="Tháng 9" dataDxfId="22" dataCellStyle="Comma"/>
    <tableColumn id="17" xr3:uid="{A924F738-21BE-487F-811F-4867D7156957}" name="Tháng 10" dataDxfId="21" dataCellStyle="Comma"/>
    <tableColumn id="18" xr3:uid="{EAC7FE17-36F2-48D4-AE56-26DBE6DC9308}" name="Lương BQ năm" dataDxfId="20"/>
    <tableColumn id="19" xr3:uid="{4CD1B9F6-3A9B-46B3-9EBC-1DCA422D382C}" name="Tỷ lệ" dataDxfId="19"/>
    <tableColumn id="20" xr3:uid="{2D73564F-4416-4DA3-98CC-3CAB8C8AE721}" name="Lương hỗ trợ tính cả TV" dataDxfId="18" dataCellStyle="Comm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A2CC18-FC54-4983-8CF4-352B8F956F1D}" name="Table13" displayName="Table13" ref="A3:J20" totalsRowShown="0" headerRowDxfId="17" dataDxfId="15" headerRowBorderDxfId="16" tableBorderDxfId="14" totalsRowBorderDxfId="13">
  <autoFilter ref="A3:J20" xr:uid="{7D697DFE-4024-45F1-BF36-2DFD2FEE232C}"/>
  <tableColumns count="10">
    <tableColumn id="1" xr3:uid="{F1737863-8E3C-4868-9467-AEC7F9F17BEA}" name="STT" dataDxfId="12"/>
    <tableColumn id="2" xr3:uid="{81FDCF3F-30C7-496A-A145-7D0BB50D9E32}" name="Mã NV" dataDxfId="11"/>
    <tableColumn id="3" xr3:uid="{3E2F86C8-D26C-4914-B2BE-DC3E394FF4D9}" name="Họ và tên" dataDxfId="10"/>
    <tableColumn id="4" xr3:uid="{BA2C3928-6F1D-44F3-8C0D-B4297451120D}" name="Chức vụ" dataDxfId="9"/>
    <tableColumn id="5" xr3:uid="{BC451087-E35B-40EC-8D72-E9CD9C42AC8F}" name="Phòng" dataDxfId="8"/>
    <tableColumn id="6" xr3:uid="{953F3054-FFDC-4EDC-AA19-3C811AC9FBE2}" name="Ngày vào công ty" dataDxfId="7"/>
    <tableColumn id="9" xr3:uid="{24079C9E-728D-4886-B13C-6648ADC7520F}" name="Thời gian làm việc" dataDxfId="6">
      <calculatedColumnFormula>DATEDIF(F4,$F$2,"y")</calculatedColumnFormula>
    </tableColumn>
    <tableColumn id="7" xr3:uid="{4FBD3AD3-B2B9-4416-958B-105F1A9FD6AF}" name="Ngày bắt đầu nghỉ" dataDxfId="5"/>
    <tableColumn id="8" xr3:uid="{42204A95-1EDF-4229-A251-A03387863724}" name="Đề xuất" dataDxfId="4" dataCellStyle="Comma"/>
    <tableColumn id="21" xr3:uid="{D8A27181-32AD-4CBA-AEDF-14178F854E2A}" name="Ghi chú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hopee.vn/T%C3%BAi-Gi%E1%BA%A5y-C%E1%BB%A9ng-M%C3%A0u-H%E1%BB%93ng-Xanh-Pastel-T%C3%BAi-Qu%C3%A0-T%E1%BA%B7ng-C%E1%BB%ADa-H%C3%A0ng-%C4%90%E1%BB%B1ng-Qu%E1%BA%A7n-%C3%81o-Sang-Tr%E1%BB%8Dng-T23-i.781061776.29200829409?sp_atk=6e4db900-07f2-4eed-89c2-b65b4e9ba8ec&amp;xptdk=6e4db900-07f2-4eed-89c2-b65b4e9ba8ec" TargetMode="External"/><Relationship Id="rId1" Type="http://schemas.openxmlformats.org/officeDocument/2006/relationships/hyperlink" Target="https://shopee.vn/S%E1%BA%A1c-d%E1%BB%B1-ph%C3%B2ng-20000mah-30000mah-c%C3%B4ng-su%E1%BA%A5t-nhanh-100w-dung-l%C6%B0%E1%BB%A3ng-pin-l%E1%BB%9Bn-c%C3%B3-s%E1%BA%B5n-d%C3%A2y-cho-%C4%91i%E1%BB%87n-tho%E1%BA%A1i-Gutek-DX159-i.95677581.21383289294?sp_atk=8b9f4897-2b2c-4f7e-bec8-271fa6217edd&amp;xptdk=8b9f4897-2b2c-4f7e-bec8-271fa6217ed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shopee.vn/T%C3%BAi-Gi%E1%BA%A5y-C%E1%BB%A9ng-M%C3%A0u-H%E1%BB%93ng-Xanh-Pastel-T%C3%BAi-Qu%C3%A0-T%E1%BA%B7ng-C%E1%BB%ADa-H%C3%A0ng-%C4%90%E1%BB%B1ng-Qu%E1%BA%A7n-%C3%81o-Sang-Tr%E1%BB%8Dng-T23-i.781061776.29200829409?sp_atk=6e4db900-07f2-4eed-89c2-b65b4e9ba8ec&amp;xptdk=6e4db900-07f2-4eed-89c2-b65b4e9ba8ec" TargetMode="External"/><Relationship Id="rId1" Type="http://schemas.openxmlformats.org/officeDocument/2006/relationships/hyperlink" Target="https://shopee.vn/S%E1%BA%A1c-d%E1%BB%B1-ph%C3%B2ng-20000mah-30000mah-c%C3%B4ng-su%E1%BA%A5t-nhanh-100w-dung-l%C6%B0%E1%BB%A3ng-pin-l%E1%BB%9Bn-c%C3%B3-s%E1%BA%B5n-d%C3%A2y-cho-%C4%91i%E1%BB%87n-tho%E1%BA%A1i-Gutek-DX159-i.95677581.21383289294?sp_atk=8b9f4897-2b2c-4f7e-bec8-271fa6217edd&amp;xptdk=8b9f4897-2b2c-4f7e-bec8-271fa6217edd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BF9A1-35C7-404F-AB43-A5286C533529}">
  <dimension ref="A1:J24"/>
  <sheetViews>
    <sheetView showGridLines="0" workbookViewId="0">
      <selection activeCell="F26" sqref="F26"/>
    </sheetView>
  </sheetViews>
  <sheetFormatPr defaultRowHeight="14.4" x14ac:dyDescent="0.3"/>
  <cols>
    <col min="1" max="1" width="13.77734375" style="1" customWidth="1"/>
    <col min="2" max="2" width="52.109375" style="1" customWidth="1"/>
    <col min="3" max="3" width="19.88671875" style="1" customWidth="1"/>
    <col min="4" max="4" width="12.109375" style="1" customWidth="1"/>
    <col min="5" max="5" width="8.88671875" style="1"/>
    <col min="6" max="6" width="19.6640625" style="1" customWidth="1"/>
    <col min="7" max="7" width="8.88671875" style="1"/>
    <col min="8" max="8" width="12.44140625" style="2" customWidth="1"/>
    <col min="9" max="9" width="14.109375" style="2" customWidth="1"/>
    <col min="10" max="10" width="15.44140625" style="1" customWidth="1"/>
    <col min="11" max="16384" width="8.88671875" style="1"/>
  </cols>
  <sheetData>
    <row r="1" spans="1:10" ht="23.4" x14ac:dyDescent="0.3">
      <c r="A1" s="47" t="s">
        <v>152</v>
      </c>
      <c r="B1" s="47"/>
      <c r="C1" s="47"/>
      <c r="D1" s="47"/>
    </row>
    <row r="2" spans="1:10" x14ac:dyDescent="0.3">
      <c r="A2" s="3" t="s">
        <v>19</v>
      </c>
      <c r="B2" s="3" t="s">
        <v>20</v>
      </c>
      <c r="C2" s="3" t="s">
        <v>21</v>
      </c>
      <c r="D2" s="3" t="s">
        <v>22</v>
      </c>
      <c r="F2" s="4" t="s">
        <v>13</v>
      </c>
      <c r="G2" s="4" t="s">
        <v>23</v>
      </c>
      <c r="H2" s="5" t="s">
        <v>24</v>
      </c>
      <c r="I2" s="5" t="s">
        <v>25</v>
      </c>
    </row>
    <row r="3" spans="1:10" x14ac:dyDescent="0.3">
      <c r="A3" s="6" t="s">
        <v>7</v>
      </c>
      <c r="B3" s="6" t="s">
        <v>131</v>
      </c>
      <c r="C3" s="6"/>
      <c r="D3" s="6"/>
      <c r="F3" s="38" t="s">
        <v>154</v>
      </c>
      <c r="G3" s="1">
        <v>12</v>
      </c>
      <c r="H3" s="2">
        <v>200000</v>
      </c>
      <c r="I3" s="7">
        <f>G3*H3</f>
        <v>2400000</v>
      </c>
      <c r="J3" s="10" t="s">
        <v>27</v>
      </c>
    </row>
    <row r="4" spans="1:10" x14ac:dyDescent="0.3">
      <c r="A4" s="48" t="s">
        <v>8</v>
      </c>
      <c r="B4" s="8" t="s">
        <v>130</v>
      </c>
      <c r="C4" s="6" t="s">
        <v>18</v>
      </c>
      <c r="D4" s="9">
        <f>I3+I4+I5</f>
        <v>2700000</v>
      </c>
      <c r="F4" s="1" t="s">
        <v>26</v>
      </c>
      <c r="G4" s="1">
        <v>12</v>
      </c>
      <c r="H4" s="2">
        <v>10000</v>
      </c>
      <c r="I4" s="7">
        <f t="shared" ref="I4:I15" si="0">G4*H4</f>
        <v>120000</v>
      </c>
    </row>
    <row r="5" spans="1:10" x14ac:dyDescent="0.3">
      <c r="A5" s="49"/>
      <c r="B5" s="6" t="s">
        <v>129</v>
      </c>
      <c r="C5" s="6" t="s">
        <v>14</v>
      </c>
      <c r="D5" s="9">
        <f>I10</f>
        <v>14000000</v>
      </c>
      <c r="F5" s="1" t="s">
        <v>31</v>
      </c>
      <c r="G5" s="1">
        <v>12</v>
      </c>
      <c r="H5" s="2">
        <v>15000</v>
      </c>
      <c r="I5" s="7">
        <f t="shared" ref="I5:I12" si="1">G5*H5</f>
        <v>180000</v>
      </c>
      <c r="J5" s="10" t="s">
        <v>27</v>
      </c>
    </row>
    <row r="6" spans="1:10" x14ac:dyDescent="0.3">
      <c r="A6" s="6" t="s">
        <v>9</v>
      </c>
      <c r="B6" s="6" t="s">
        <v>41</v>
      </c>
      <c r="C6" s="6"/>
      <c r="D6" s="6"/>
      <c r="F6" s="1" t="s">
        <v>128</v>
      </c>
      <c r="G6" s="1">
        <v>1</v>
      </c>
      <c r="H6" s="2">
        <v>500000</v>
      </c>
      <c r="I6" s="7">
        <f t="shared" si="1"/>
        <v>500000</v>
      </c>
      <c r="J6" s="10"/>
    </row>
    <row r="7" spans="1:10" x14ac:dyDescent="0.3">
      <c r="A7" s="6" t="s">
        <v>10</v>
      </c>
      <c r="B7" s="6" t="s">
        <v>0</v>
      </c>
      <c r="C7" s="6" t="s">
        <v>17</v>
      </c>
      <c r="D7" s="9">
        <f>I7+I8+I9+I6</f>
        <v>2035000</v>
      </c>
      <c r="F7" s="1" t="s">
        <v>28</v>
      </c>
      <c r="G7" s="1">
        <v>3</v>
      </c>
      <c r="H7" s="2">
        <v>300000</v>
      </c>
      <c r="I7" s="7">
        <f t="shared" si="1"/>
        <v>900000</v>
      </c>
    </row>
    <row r="8" spans="1:10" x14ac:dyDescent="0.3">
      <c r="A8" s="6" t="s">
        <v>11</v>
      </c>
      <c r="B8" s="6" t="s">
        <v>1</v>
      </c>
      <c r="C8" s="6"/>
      <c r="D8" s="6"/>
      <c r="F8" s="1" t="s">
        <v>29</v>
      </c>
      <c r="G8" s="1">
        <v>1</v>
      </c>
      <c r="H8" s="2">
        <v>500000</v>
      </c>
      <c r="I8" s="7">
        <f t="shared" si="1"/>
        <v>500000</v>
      </c>
    </row>
    <row r="9" spans="1:10" x14ac:dyDescent="0.3">
      <c r="A9" s="6" t="s">
        <v>12</v>
      </c>
      <c r="B9" s="6" t="s">
        <v>42</v>
      </c>
      <c r="C9" s="6" t="s">
        <v>52</v>
      </c>
      <c r="D9" s="9">
        <f>I13</f>
        <v>0</v>
      </c>
      <c r="F9" s="1" t="s">
        <v>124</v>
      </c>
      <c r="G9" s="1">
        <v>3</v>
      </c>
      <c r="H9" s="2">
        <v>45000</v>
      </c>
      <c r="I9" s="7">
        <f t="shared" si="1"/>
        <v>135000</v>
      </c>
    </row>
    <row r="10" spans="1:10" x14ac:dyDescent="0.3">
      <c r="A10" s="6"/>
      <c r="B10" s="8" t="s">
        <v>43</v>
      </c>
      <c r="C10" s="6" t="s">
        <v>53</v>
      </c>
      <c r="D10" s="9">
        <f>I12</f>
        <v>2400000</v>
      </c>
      <c r="F10" s="1" t="s">
        <v>125</v>
      </c>
      <c r="G10" s="1">
        <v>2</v>
      </c>
      <c r="H10" s="2">
        <v>7000000</v>
      </c>
      <c r="I10" s="7">
        <f t="shared" si="1"/>
        <v>14000000</v>
      </c>
    </row>
    <row r="11" spans="1:10" x14ac:dyDescent="0.3">
      <c r="A11" s="6"/>
      <c r="B11" s="6" t="s">
        <v>44</v>
      </c>
      <c r="C11" s="6" t="s">
        <v>16</v>
      </c>
      <c r="D11" s="9">
        <f>I11</f>
        <v>140000</v>
      </c>
      <c r="F11" s="1" t="s">
        <v>126</v>
      </c>
      <c r="G11" s="1">
        <v>2</v>
      </c>
      <c r="H11" s="2">
        <v>70000</v>
      </c>
      <c r="I11" s="7">
        <f t="shared" si="1"/>
        <v>140000</v>
      </c>
    </row>
    <row r="12" spans="1:10" x14ac:dyDescent="0.3">
      <c r="A12" s="6"/>
      <c r="B12" s="6" t="s">
        <v>45</v>
      </c>
      <c r="C12" s="6" t="s">
        <v>16</v>
      </c>
      <c r="D12" s="6"/>
      <c r="F12" s="1" t="s">
        <v>42</v>
      </c>
      <c r="G12" s="1">
        <v>1</v>
      </c>
      <c r="H12" s="2">
        <v>2400000</v>
      </c>
      <c r="I12" s="7">
        <f t="shared" si="1"/>
        <v>2400000</v>
      </c>
    </row>
    <row r="13" spans="1:10" x14ac:dyDescent="0.3">
      <c r="A13" s="6"/>
      <c r="B13" s="6"/>
      <c r="C13" s="6" t="s">
        <v>54</v>
      </c>
      <c r="D13" s="6"/>
      <c r="I13" s="7"/>
    </row>
    <row r="14" spans="1:10" x14ac:dyDescent="0.3">
      <c r="A14" s="6"/>
      <c r="B14" s="6"/>
      <c r="C14" s="6"/>
      <c r="D14" s="6"/>
      <c r="I14" s="7"/>
    </row>
    <row r="15" spans="1:10" x14ac:dyDescent="0.3">
      <c r="A15" s="6" t="s">
        <v>3</v>
      </c>
      <c r="B15" s="6" t="s">
        <v>46</v>
      </c>
      <c r="C15" s="6" t="s">
        <v>14</v>
      </c>
      <c r="D15" s="6"/>
      <c r="I15" s="7">
        <f t="shared" si="0"/>
        <v>0</v>
      </c>
    </row>
    <row r="16" spans="1:10" x14ac:dyDescent="0.3">
      <c r="A16" s="6"/>
      <c r="B16" s="6" t="s">
        <v>47</v>
      </c>
      <c r="C16" s="6" t="s">
        <v>15</v>
      </c>
      <c r="D16" s="6"/>
      <c r="F16" s="1" t="s">
        <v>30</v>
      </c>
      <c r="I16" s="7">
        <f>SUM(I3:I15)</f>
        <v>21275000</v>
      </c>
    </row>
    <row r="17" spans="1:9" x14ac:dyDescent="0.3">
      <c r="A17" s="6" t="s">
        <v>4</v>
      </c>
      <c r="B17" s="6" t="s">
        <v>48</v>
      </c>
      <c r="C17" s="6" t="s">
        <v>159</v>
      </c>
      <c r="D17" s="6"/>
      <c r="I17" s="2">
        <f>I16-I10</f>
        <v>7275000</v>
      </c>
    </row>
    <row r="18" spans="1:9" x14ac:dyDescent="0.3">
      <c r="A18" s="6"/>
      <c r="B18" s="6" t="s">
        <v>49</v>
      </c>
      <c r="C18" s="6"/>
      <c r="D18" s="6"/>
    </row>
    <row r="19" spans="1:9" x14ac:dyDescent="0.3">
      <c r="A19" s="6"/>
      <c r="B19" s="6" t="s">
        <v>5</v>
      </c>
      <c r="C19" s="6" t="s">
        <v>14</v>
      </c>
      <c r="D19" s="6"/>
    </row>
    <row r="20" spans="1:9" x14ac:dyDescent="0.3">
      <c r="A20" s="6"/>
      <c r="B20" s="6" t="s">
        <v>50</v>
      </c>
      <c r="C20" s="6"/>
      <c r="D20" s="6"/>
    </row>
    <row r="21" spans="1:9" s="14" customFormat="1" x14ac:dyDescent="0.3">
      <c r="A21" s="6"/>
      <c r="B21" s="6" t="s">
        <v>51</v>
      </c>
      <c r="C21" s="6"/>
      <c r="D21" s="6"/>
    </row>
    <row r="22" spans="1:9" s="14" customFormat="1" x14ac:dyDescent="0.3">
      <c r="A22" s="13"/>
      <c r="B22" s="13" t="s">
        <v>30</v>
      </c>
      <c r="C22" s="13"/>
      <c r="D22" s="13">
        <f>SUM(D3:D21)</f>
        <v>21275000</v>
      </c>
    </row>
    <row r="24" spans="1:9" x14ac:dyDescent="0.3">
      <c r="D24" s="46"/>
    </row>
  </sheetData>
  <mergeCells count="2">
    <mergeCell ref="A1:D1"/>
    <mergeCell ref="A4:A5"/>
  </mergeCells>
  <hyperlinks>
    <hyperlink ref="J3" r:id="rId1" xr:uid="{6FE1C44E-14DC-4174-9DDD-3ED71F110EE6}"/>
    <hyperlink ref="J5" r:id="rId2" xr:uid="{6CF54993-6D95-41E2-B19D-FA62779F864C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2CE70-9BA6-4487-9FA8-3D7090006705}">
  <dimension ref="A1:J22"/>
  <sheetViews>
    <sheetView showGridLines="0" workbookViewId="0">
      <selection activeCell="D21" sqref="D21"/>
    </sheetView>
  </sheetViews>
  <sheetFormatPr defaultRowHeight="14.4" x14ac:dyDescent="0.3"/>
  <cols>
    <col min="1" max="1" width="13.77734375" style="1" customWidth="1"/>
    <col min="2" max="2" width="57.6640625" style="1" customWidth="1"/>
    <col min="3" max="3" width="15.88671875" style="1" customWidth="1"/>
    <col min="4" max="4" width="13.44140625" style="1" customWidth="1"/>
    <col min="5" max="5" width="8.88671875" style="1"/>
    <col min="6" max="6" width="25.33203125" style="1" customWidth="1"/>
    <col min="7" max="7" width="8.88671875" style="1"/>
    <col min="8" max="8" width="10.21875" style="1" customWidth="1"/>
    <col min="9" max="9" width="12.33203125" style="1" customWidth="1"/>
    <col min="10" max="16384" width="8.88671875" style="1"/>
  </cols>
  <sheetData>
    <row r="1" spans="1:10" ht="23.4" x14ac:dyDescent="0.3">
      <c r="A1" s="47" t="s">
        <v>153</v>
      </c>
      <c r="B1" s="47"/>
      <c r="C1" s="47"/>
      <c r="D1" s="47"/>
    </row>
    <row r="2" spans="1:10" x14ac:dyDescent="0.3">
      <c r="A2" s="3" t="s">
        <v>19</v>
      </c>
      <c r="B2" s="3" t="s">
        <v>20</v>
      </c>
      <c r="C2" s="3" t="s">
        <v>21</v>
      </c>
      <c r="D2" s="3" t="s">
        <v>22</v>
      </c>
      <c r="F2" s="4" t="s">
        <v>13</v>
      </c>
      <c r="G2" s="4" t="s">
        <v>23</v>
      </c>
      <c r="H2" s="5" t="s">
        <v>24</v>
      </c>
      <c r="I2" s="5" t="s">
        <v>25</v>
      </c>
    </row>
    <row r="3" spans="1:10" ht="22.2" customHeight="1" x14ac:dyDescent="0.3">
      <c r="A3" s="6" t="s">
        <v>7</v>
      </c>
      <c r="B3" s="6" t="s">
        <v>32</v>
      </c>
      <c r="C3" s="6"/>
      <c r="D3" s="6"/>
      <c r="F3" s="38" t="s">
        <v>127</v>
      </c>
      <c r="G3" s="1">
        <v>2</v>
      </c>
      <c r="H3" s="2">
        <v>200000</v>
      </c>
      <c r="I3" s="7">
        <f>G3*H3</f>
        <v>400000</v>
      </c>
      <c r="J3" s="10" t="s">
        <v>27</v>
      </c>
    </row>
    <row r="4" spans="1:10" ht="18.600000000000001" customHeight="1" x14ac:dyDescent="0.3">
      <c r="A4" s="50" t="s">
        <v>8</v>
      </c>
      <c r="B4" s="8" t="s">
        <v>135</v>
      </c>
      <c r="C4" s="6" t="s">
        <v>16</v>
      </c>
      <c r="D4" s="11">
        <f>I3+I4+I5</f>
        <v>450000</v>
      </c>
      <c r="F4" s="1" t="s">
        <v>26</v>
      </c>
      <c r="G4" s="1">
        <v>2</v>
      </c>
      <c r="H4" s="2">
        <v>10000</v>
      </c>
      <c r="I4" s="7">
        <f t="shared" ref="I4:I15" si="0">G4*H4</f>
        <v>20000</v>
      </c>
    </row>
    <row r="5" spans="1:10" ht="21.6" customHeight="1" x14ac:dyDescent="0.3">
      <c r="A5" s="51"/>
      <c r="B5" s="6" t="s">
        <v>134</v>
      </c>
      <c r="C5" s="6" t="s">
        <v>14</v>
      </c>
      <c r="D5" s="11">
        <f>I9</f>
        <v>20000000</v>
      </c>
      <c r="F5" s="1" t="s">
        <v>31</v>
      </c>
      <c r="G5" s="1">
        <v>2</v>
      </c>
      <c r="H5" s="2">
        <v>15000</v>
      </c>
      <c r="I5" s="7">
        <f t="shared" si="0"/>
        <v>30000</v>
      </c>
      <c r="J5" s="10" t="s">
        <v>27</v>
      </c>
    </row>
    <row r="6" spans="1:10" x14ac:dyDescent="0.3">
      <c r="A6" s="6" t="s">
        <v>9</v>
      </c>
      <c r="B6" s="6" t="s">
        <v>33</v>
      </c>
      <c r="C6" s="6"/>
      <c r="D6" s="11"/>
      <c r="F6" s="1" t="s">
        <v>34</v>
      </c>
      <c r="G6" s="1">
        <v>17</v>
      </c>
      <c r="H6" s="2">
        <v>300000</v>
      </c>
      <c r="I6" s="7">
        <f>G6*H6</f>
        <v>5100000</v>
      </c>
      <c r="J6" s="10"/>
    </row>
    <row r="7" spans="1:10" x14ac:dyDescent="0.3">
      <c r="A7" s="6" t="s">
        <v>10</v>
      </c>
      <c r="B7" s="6" t="s">
        <v>34</v>
      </c>
      <c r="C7" s="6"/>
      <c r="D7" s="9">
        <f>I6</f>
        <v>5100000</v>
      </c>
      <c r="F7" s="1" t="s">
        <v>132</v>
      </c>
      <c r="G7" s="1">
        <v>1</v>
      </c>
      <c r="H7" s="2">
        <v>70000</v>
      </c>
      <c r="I7" s="7">
        <f t="shared" ref="I7:I9" si="1">G7*H7</f>
        <v>70000</v>
      </c>
    </row>
    <row r="8" spans="1:10" x14ac:dyDescent="0.3">
      <c r="A8" s="6" t="s">
        <v>11</v>
      </c>
      <c r="B8" s="6" t="s">
        <v>35</v>
      </c>
      <c r="C8" s="6"/>
      <c r="D8" s="6"/>
      <c r="F8" s="1" t="s">
        <v>42</v>
      </c>
      <c r="G8" s="1">
        <v>1</v>
      </c>
      <c r="H8" s="2">
        <v>2400000</v>
      </c>
      <c r="I8" s="7">
        <f t="shared" si="1"/>
        <v>2400000</v>
      </c>
    </row>
    <row r="9" spans="1:10" x14ac:dyDescent="0.3">
      <c r="A9" s="6" t="s">
        <v>12</v>
      </c>
      <c r="B9" s="6" t="s">
        <v>36</v>
      </c>
      <c r="C9" s="6" t="s">
        <v>52</v>
      </c>
      <c r="D9" s="9">
        <f>I8</f>
        <v>2400000</v>
      </c>
      <c r="F9" s="1" t="s">
        <v>160</v>
      </c>
      <c r="G9" s="1">
        <v>4</v>
      </c>
      <c r="H9" s="2">
        <v>5000000</v>
      </c>
      <c r="I9" s="7">
        <f t="shared" si="1"/>
        <v>20000000</v>
      </c>
    </row>
    <row r="10" spans="1:10" x14ac:dyDescent="0.3">
      <c r="A10" s="6"/>
      <c r="B10" s="8" t="s">
        <v>37</v>
      </c>
      <c r="C10" s="6" t="s">
        <v>14</v>
      </c>
      <c r="D10" s="6"/>
      <c r="H10" s="2"/>
      <c r="I10" s="7"/>
    </row>
    <row r="11" spans="1:10" x14ac:dyDescent="0.3">
      <c r="A11" s="6"/>
      <c r="B11" s="6" t="s">
        <v>132</v>
      </c>
      <c r="C11" s="6" t="s">
        <v>52</v>
      </c>
      <c r="D11" s="9">
        <f>I7</f>
        <v>70000</v>
      </c>
      <c r="H11" s="2"/>
      <c r="I11" s="7"/>
    </row>
    <row r="12" spans="1:10" x14ac:dyDescent="0.3">
      <c r="A12" s="6"/>
      <c r="B12" s="6"/>
      <c r="C12" s="6" t="s">
        <v>15</v>
      </c>
      <c r="D12" s="6"/>
      <c r="H12" s="2"/>
      <c r="I12" s="7"/>
    </row>
    <row r="13" spans="1:10" x14ac:dyDescent="0.3">
      <c r="A13" s="6" t="s">
        <v>2</v>
      </c>
      <c r="B13" s="6" t="s">
        <v>46</v>
      </c>
      <c r="C13" s="6" t="s">
        <v>14</v>
      </c>
      <c r="D13" s="6"/>
      <c r="H13" s="2"/>
      <c r="I13" s="7"/>
    </row>
    <row r="14" spans="1:10" x14ac:dyDescent="0.3">
      <c r="A14" s="6"/>
      <c r="B14" s="6" t="s">
        <v>38</v>
      </c>
      <c r="C14" s="6" t="s">
        <v>15</v>
      </c>
      <c r="D14" s="6"/>
      <c r="H14" s="2"/>
      <c r="I14" s="7"/>
    </row>
    <row r="15" spans="1:10" x14ac:dyDescent="0.3">
      <c r="A15" s="6"/>
      <c r="B15" s="6" t="s">
        <v>133</v>
      </c>
      <c r="C15" s="6" t="s">
        <v>15</v>
      </c>
      <c r="D15" s="6"/>
      <c r="H15" s="2"/>
      <c r="I15" s="7">
        <f t="shared" si="0"/>
        <v>0</v>
      </c>
    </row>
    <row r="16" spans="1:10" s="14" customFormat="1" x14ac:dyDescent="0.3">
      <c r="A16" s="6"/>
      <c r="B16" s="6" t="s">
        <v>39</v>
      </c>
      <c r="C16" s="6"/>
      <c r="D16" s="6"/>
      <c r="F16" s="1" t="s">
        <v>30</v>
      </c>
      <c r="G16" s="1"/>
      <c r="H16" s="2"/>
      <c r="I16" s="7">
        <f>SUM(I3:I15)</f>
        <v>28020000</v>
      </c>
      <c r="J16" s="1"/>
    </row>
    <row r="17" spans="1:10" x14ac:dyDescent="0.3">
      <c r="A17" s="6"/>
      <c r="B17" s="6" t="s">
        <v>6</v>
      </c>
      <c r="C17" s="6"/>
      <c r="D17" s="6"/>
      <c r="H17" s="2"/>
      <c r="I17" s="2">
        <f>I16-I9</f>
        <v>8020000</v>
      </c>
    </row>
    <row r="18" spans="1:10" x14ac:dyDescent="0.3">
      <c r="A18" s="12"/>
      <c r="B18" s="12"/>
      <c r="C18" s="12" t="s">
        <v>40</v>
      </c>
      <c r="D18" s="13">
        <f>SUM(D3:D17)</f>
        <v>28020000</v>
      </c>
    </row>
    <row r="19" spans="1:10" x14ac:dyDescent="0.3">
      <c r="C19" s="43" t="s">
        <v>148</v>
      </c>
      <c r="D19" s="7">
        <f>'Tiệc chia tay NV'!D22</f>
        <v>21275000</v>
      </c>
      <c r="E19" s="1" t="s">
        <v>151</v>
      </c>
    </row>
    <row r="20" spans="1:10" x14ac:dyDescent="0.3">
      <c r="C20" s="43" t="s">
        <v>149</v>
      </c>
      <c r="D20" s="7">
        <f>'Cơ chế'!V22</f>
        <v>273920000</v>
      </c>
    </row>
    <row r="21" spans="1:10" x14ac:dyDescent="0.3">
      <c r="C21" s="14" t="s">
        <v>150</v>
      </c>
      <c r="D21" s="44">
        <f>D18+D19+D20</f>
        <v>323215000</v>
      </c>
    </row>
    <row r="22" spans="1:10" ht="30.6" customHeight="1" x14ac:dyDescent="0.3">
      <c r="E22" s="52"/>
      <c r="F22" s="52"/>
      <c r="G22" s="52"/>
      <c r="H22" s="52"/>
      <c r="I22" s="52"/>
      <c r="J22" s="52"/>
    </row>
  </sheetData>
  <mergeCells count="3">
    <mergeCell ref="A1:D1"/>
    <mergeCell ref="A4:A5"/>
    <mergeCell ref="E22:J22"/>
  </mergeCells>
  <hyperlinks>
    <hyperlink ref="J3" r:id="rId1" xr:uid="{C6EA6131-B593-48FD-9DC6-8542EF387CF6}"/>
    <hyperlink ref="J5" r:id="rId2" xr:uid="{FD000730-AFC3-4E77-B4C6-3EB51114C599}"/>
  </hyperlink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C8671-5ACD-439B-892E-7AB272EDE19F}">
  <dimension ref="A1:Y22"/>
  <sheetViews>
    <sheetView showGridLines="0" tabSelected="1" topLeftCell="G1" zoomScale="88" zoomScaleNormal="88" workbookViewId="0">
      <selection activeCell="T19" sqref="T19"/>
    </sheetView>
  </sheetViews>
  <sheetFormatPr defaultRowHeight="13.8" x14ac:dyDescent="0.3"/>
  <cols>
    <col min="1" max="1" width="6.21875" style="15" customWidth="1"/>
    <col min="2" max="2" width="13.77734375" style="15" customWidth="1"/>
    <col min="3" max="3" width="17.77734375" style="15" customWidth="1"/>
    <col min="4" max="4" width="18.109375" style="15" customWidth="1"/>
    <col min="5" max="5" width="17.5546875" style="15" customWidth="1"/>
    <col min="6" max="6" width="13.44140625" style="17" customWidth="1"/>
    <col min="7" max="7" width="10.21875" style="15" customWidth="1"/>
    <col min="8" max="8" width="13.44140625" style="17" customWidth="1"/>
    <col min="9" max="9" width="10.21875" style="15" customWidth="1"/>
    <col min="10" max="11" width="11.6640625" style="18" customWidth="1"/>
    <col min="12" max="12" width="12.6640625" style="18" customWidth="1"/>
    <col min="13" max="17" width="11.6640625" style="18" customWidth="1"/>
    <col min="18" max="18" width="12.44140625" style="18" customWidth="1"/>
    <col min="19" max="19" width="14.109375" style="18" customWidth="1"/>
    <col min="20" max="20" width="13.77734375" style="15" customWidth="1"/>
    <col min="21" max="21" width="8.88671875" style="15"/>
    <col min="22" max="22" width="15.21875" style="15" customWidth="1"/>
    <col min="23" max="23" width="8.88671875" style="15"/>
    <col min="24" max="24" width="15.21875" style="15" customWidth="1"/>
    <col min="25" max="25" width="16.44140625" style="55" customWidth="1"/>
    <col min="26" max="16384" width="8.88671875" style="15"/>
  </cols>
  <sheetData>
    <row r="1" spans="1:25" ht="27" customHeight="1" x14ac:dyDescent="0.3">
      <c r="A1" s="16" t="s">
        <v>55</v>
      </c>
      <c r="C1" s="16"/>
    </row>
    <row r="2" spans="1:25" x14ac:dyDescent="0.3">
      <c r="F2" s="19">
        <v>45626</v>
      </c>
      <c r="H2" s="19"/>
    </row>
    <row r="3" spans="1:25" ht="41.4" customHeight="1" x14ac:dyDescent="0.3">
      <c r="A3" s="20" t="s">
        <v>56</v>
      </c>
      <c r="B3" s="21" t="s">
        <v>57</v>
      </c>
      <c r="C3" s="21" t="s">
        <v>58</v>
      </c>
      <c r="D3" s="21" t="s">
        <v>59</v>
      </c>
      <c r="E3" s="21" t="s">
        <v>60</v>
      </c>
      <c r="F3" s="21" t="s">
        <v>61</v>
      </c>
      <c r="G3" s="21" t="s">
        <v>121</v>
      </c>
      <c r="H3" s="21" t="s">
        <v>161</v>
      </c>
      <c r="I3" s="21" t="s">
        <v>162</v>
      </c>
      <c r="J3" s="22" t="s">
        <v>136</v>
      </c>
      <c r="K3" s="22" t="s">
        <v>137</v>
      </c>
      <c r="L3" s="22" t="s">
        <v>138</v>
      </c>
      <c r="M3" s="22" t="s">
        <v>139</v>
      </c>
      <c r="N3" s="22" t="s">
        <v>140</v>
      </c>
      <c r="O3" s="22" t="s">
        <v>141</v>
      </c>
      <c r="P3" s="22" t="s">
        <v>142</v>
      </c>
      <c r="Q3" s="22" t="s">
        <v>143</v>
      </c>
      <c r="R3" s="22" t="s">
        <v>144</v>
      </c>
      <c r="S3" s="22" t="s">
        <v>145</v>
      </c>
      <c r="T3" s="21" t="s">
        <v>146</v>
      </c>
      <c r="U3" s="21" t="s">
        <v>147</v>
      </c>
      <c r="V3" s="39" t="s">
        <v>163</v>
      </c>
      <c r="W3" s="54" t="s">
        <v>147</v>
      </c>
      <c r="X3" s="54" t="s">
        <v>164</v>
      </c>
      <c r="Y3" s="55" t="s">
        <v>165</v>
      </c>
    </row>
    <row r="4" spans="1:25" ht="18" customHeight="1" x14ac:dyDescent="0.3">
      <c r="A4" s="24">
        <v>1</v>
      </c>
      <c r="B4" s="32" t="s">
        <v>65</v>
      </c>
      <c r="C4" s="26" t="s">
        <v>66</v>
      </c>
      <c r="D4" s="25" t="s">
        <v>67</v>
      </c>
      <c r="E4" s="25" t="s">
        <v>68</v>
      </c>
      <c r="F4" s="27">
        <v>44086</v>
      </c>
      <c r="G4" s="37">
        <f>DATEDIF(Table1[[#This Row],[Ngày vào công ty]],$F$2,"m")</f>
        <v>50</v>
      </c>
      <c r="H4" s="27">
        <v>44147</v>
      </c>
      <c r="I4" s="37">
        <f>DATEDIF(H4,$F$2,"m")</f>
        <v>48</v>
      </c>
      <c r="J4" s="29"/>
      <c r="K4" s="29"/>
      <c r="L4" s="29"/>
      <c r="M4" s="29"/>
      <c r="N4" s="29"/>
      <c r="O4" s="29"/>
      <c r="P4" s="29"/>
      <c r="Q4" s="29">
        <v>7427611.1111111119</v>
      </c>
      <c r="R4" s="29">
        <v>11495000</v>
      </c>
      <c r="S4" s="29">
        <v>10794500</v>
      </c>
      <c r="T4" s="40">
        <f>AVERAGE(J4:S4)</f>
        <v>9905703.7037037034</v>
      </c>
      <c r="U4" s="32">
        <f>+IF(Table1[[#This Row],[Thời gian làm việc]]&lt;6,0.5,IF(Table1[[#This Row],[Thời gian làm việc]]&lt;12,1,1.5))</f>
        <v>1.5</v>
      </c>
      <c r="V4" s="41">
        <f>ROUND(T4*U4,-4)</f>
        <v>14860000</v>
      </c>
      <c r="W4" s="32">
        <f>+IF(Table1[[#This Row],[Thời gian LV chính thức]]&lt;6.1,0.5,IF(Table1[[#This Row],[Thời gian LV chính thức]]&lt;12,1,1.5))</f>
        <v>1.5</v>
      </c>
      <c r="X4" s="41">
        <f>ROUND(AVERAGE(Table1[[#This Row],[Tháng 1]:[Tháng 10]])*W4,-4)</f>
        <v>14860000</v>
      </c>
      <c r="Y4" s="56">
        <f>Table1[[#This Row],[Lương hỗ trợ tính cả TV]]-X4</f>
        <v>0</v>
      </c>
    </row>
    <row r="5" spans="1:25" ht="18" customHeight="1" x14ac:dyDescent="0.3">
      <c r="A5" s="24">
        <v>2</v>
      </c>
      <c r="B5" s="32" t="s">
        <v>69</v>
      </c>
      <c r="C5" s="26" t="s">
        <v>70</v>
      </c>
      <c r="D5" s="25" t="s">
        <v>71</v>
      </c>
      <c r="E5" s="25" t="s">
        <v>68</v>
      </c>
      <c r="F5" s="27">
        <v>45428</v>
      </c>
      <c r="G5" s="37">
        <f>DATEDIF(Table1[[#This Row],[Ngày vào công ty]],$F$2,"m")</f>
        <v>6</v>
      </c>
      <c r="H5" s="53">
        <v>45489</v>
      </c>
      <c r="I5" s="37">
        <f t="shared" ref="I5:I21" si="0">DATEDIF(H5,$F$2,"m")</f>
        <v>4</v>
      </c>
      <c r="J5" s="29"/>
      <c r="K5" s="29"/>
      <c r="L5" s="29"/>
      <c r="M5" s="29"/>
      <c r="N5" s="29">
        <v>3504677.4193548388</v>
      </c>
      <c r="O5" s="29">
        <v>8856200</v>
      </c>
      <c r="P5" s="29">
        <v>9402777.777777778</v>
      </c>
      <c r="Q5" s="29">
        <v>9800000</v>
      </c>
      <c r="R5" s="29">
        <v>10240000</v>
      </c>
      <c r="S5" s="29">
        <v>9800000</v>
      </c>
      <c r="T5" s="40">
        <f t="shared" ref="T5:T20" si="1">AVERAGE(J5:S5)</f>
        <v>8600609.1995221023</v>
      </c>
      <c r="U5" s="32">
        <f>+IF(Table1[[#This Row],[Thời gian làm việc]]&lt;6,0.5,IF(Table1[[#This Row],[Thời gian làm việc]]&lt;12,1,1.5))</f>
        <v>1</v>
      </c>
      <c r="V5" s="41">
        <f t="shared" ref="V5:V20" si="2">ROUND(T5*U5,-4)</f>
        <v>8600000</v>
      </c>
      <c r="W5" s="32">
        <f>+IF(Table1[[#This Row],[Thời gian LV chính thức]]&lt;6.1,0.5,IF(Table1[[#This Row],[Thời gian LV chính thức]]&lt;12,1,1.5))</f>
        <v>0.5</v>
      </c>
      <c r="X5" s="41">
        <f>ROUND(AVERAGE(Table1[[#This Row],[Tháng 7]:[Tháng 10]])*W5,-4)</f>
        <v>4910000</v>
      </c>
      <c r="Y5" s="56">
        <f>Table1[[#This Row],[Lương hỗ trợ tính cả TV]]-X5</f>
        <v>3690000</v>
      </c>
    </row>
    <row r="6" spans="1:25" ht="18" customHeight="1" x14ac:dyDescent="0.3">
      <c r="A6" s="24">
        <v>3</v>
      </c>
      <c r="B6" s="32" t="s">
        <v>73</v>
      </c>
      <c r="C6" s="26" t="s">
        <v>74</v>
      </c>
      <c r="D6" s="25" t="s">
        <v>71</v>
      </c>
      <c r="E6" s="25" t="s">
        <v>68</v>
      </c>
      <c r="F6" s="27">
        <v>45457</v>
      </c>
      <c r="G6" s="37">
        <f>DATEDIF(Table1[[#This Row],[Ngày vào công ty]],$F$2,"m")</f>
        <v>5</v>
      </c>
      <c r="H6" s="27">
        <v>45518</v>
      </c>
      <c r="I6" s="37">
        <f t="shared" si="0"/>
        <v>3</v>
      </c>
      <c r="J6" s="29"/>
      <c r="K6" s="29"/>
      <c r="L6" s="29"/>
      <c r="M6" s="29"/>
      <c r="N6" s="29"/>
      <c r="O6" s="29">
        <v>5327800</v>
      </c>
      <c r="P6" s="29">
        <v>8483000</v>
      </c>
      <c r="Q6" s="29">
        <v>8949081.4814814813</v>
      </c>
      <c r="R6" s="29">
        <v>10720000</v>
      </c>
      <c r="S6" s="29">
        <v>10042000</v>
      </c>
      <c r="T6" s="40">
        <f t="shared" si="1"/>
        <v>8704376.2962962948</v>
      </c>
      <c r="U6" s="32">
        <f>+IF(Table1[[#This Row],[Thời gian làm việc]]&lt;6,0.5,IF(Table1[[#This Row],[Thời gian làm việc]]&lt;12,1,1.5))</f>
        <v>0.5</v>
      </c>
      <c r="V6" s="41">
        <f t="shared" si="2"/>
        <v>4350000</v>
      </c>
      <c r="W6" s="32">
        <f>+IF(Table1[[#This Row],[Thời gian LV chính thức]]&lt;6.1,0.5,IF(Table1[[#This Row],[Thời gian LV chính thức]]&lt;12,1,1.5))</f>
        <v>0.5</v>
      </c>
      <c r="X6" s="41">
        <f>ROUND(Table1[[#This Row],[Lương BQ năm]]*W6,-4)</f>
        <v>4350000</v>
      </c>
      <c r="Y6" s="56">
        <f>Table1[[#This Row],[Lương hỗ trợ tính cả TV]]-X6</f>
        <v>0</v>
      </c>
    </row>
    <row r="7" spans="1:25" ht="18" customHeight="1" x14ac:dyDescent="0.3">
      <c r="A7" s="24">
        <v>4</v>
      </c>
      <c r="B7" s="32" t="s">
        <v>75</v>
      </c>
      <c r="C7" s="26" t="s">
        <v>76</v>
      </c>
      <c r="D7" s="25" t="s">
        <v>77</v>
      </c>
      <c r="E7" s="25" t="s">
        <v>78</v>
      </c>
      <c r="F7" s="27">
        <v>45474</v>
      </c>
      <c r="G7" s="37">
        <f>DATEDIF(Table1[[#This Row],[Ngày vào công ty]],$F$2,"m")</f>
        <v>4</v>
      </c>
      <c r="H7" s="27">
        <v>45536</v>
      </c>
      <c r="I7" s="37">
        <f t="shared" si="0"/>
        <v>2</v>
      </c>
      <c r="J7" s="29"/>
      <c r="K7" s="29"/>
      <c r="L7" s="29"/>
      <c r="M7" s="29"/>
      <c r="N7" s="29"/>
      <c r="O7" s="29"/>
      <c r="P7" s="29">
        <v>9331000</v>
      </c>
      <c r="Q7" s="29">
        <v>10368300</v>
      </c>
      <c r="R7" s="29">
        <v>12540000</v>
      </c>
      <c r="S7" s="29">
        <v>12198000</v>
      </c>
      <c r="T7" s="40">
        <f t="shared" si="1"/>
        <v>11109325</v>
      </c>
      <c r="U7" s="32">
        <f>+IF(Table1[[#This Row],[Thời gian làm việc]]&lt;6,0.5,IF(Table1[[#This Row],[Thời gian làm việc]]&lt;12,1,1.5))</f>
        <v>0.5</v>
      </c>
      <c r="V7" s="41">
        <f t="shared" si="2"/>
        <v>5550000</v>
      </c>
      <c r="W7" s="32">
        <f>+IF(Table1[[#This Row],[Thời gian LV chính thức]]&lt;6.1,0.5,IF(Table1[[#This Row],[Thời gian LV chính thức]]&lt;12,1,1.5))</f>
        <v>0.5</v>
      </c>
      <c r="X7" s="41">
        <f>ROUND(Table1[[#This Row],[Lương BQ năm]]*W7,-4)</f>
        <v>5550000</v>
      </c>
      <c r="Y7" s="56">
        <f>Table1[[#This Row],[Lương hỗ trợ tính cả TV]]-X7</f>
        <v>0</v>
      </c>
    </row>
    <row r="8" spans="1:25" ht="18" customHeight="1" x14ac:dyDescent="0.3">
      <c r="A8" s="24">
        <v>5</v>
      </c>
      <c r="B8" s="32" t="s">
        <v>79</v>
      </c>
      <c r="C8" s="26" t="s">
        <v>80</v>
      </c>
      <c r="D8" s="25" t="s">
        <v>81</v>
      </c>
      <c r="E8" s="25" t="s">
        <v>82</v>
      </c>
      <c r="F8" s="27">
        <v>45245</v>
      </c>
      <c r="G8" s="37">
        <f>DATEDIF(Table1[[#This Row],[Ngày vào công ty]],$F$2,"m")</f>
        <v>12</v>
      </c>
      <c r="H8" s="27">
        <v>45306</v>
      </c>
      <c r="I8" s="37">
        <f t="shared" si="0"/>
        <v>10</v>
      </c>
      <c r="J8" s="29">
        <v>10488888.888888888</v>
      </c>
      <c r="K8" s="29">
        <v>10860000</v>
      </c>
      <c r="L8" s="29">
        <v>12000000</v>
      </c>
      <c r="M8" s="29">
        <v>11970000</v>
      </c>
      <c r="N8" s="29">
        <v>15247500</v>
      </c>
      <c r="O8" s="29">
        <v>15247500</v>
      </c>
      <c r="P8" s="29">
        <v>12198000</v>
      </c>
      <c r="Q8" s="29">
        <v>18297000.949999999</v>
      </c>
      <c r="R8" s="29">
        <v>15675000</v>
      </c>
      <c r="S8" s="29">
        <v>15247500</v>
      </c>
      <c r="T8" s="40">
        <f t="shared" si="1"/>
        <v>13723138.983888889</v>
      </c>
      <c r="U8" s="32">
        <f>+IF(Table1[[#This Row],[Thời gian làm việc]]&lt;6,0.5,IF(Table1[[#This Row],[Thời gian làm việc]]&lt;12,1,1.5))</f>
        <v>1.5</v>
      </c>
      <c r="V8" s="41">
        <f>ROUND(T8*U8,-4)</f>
        <v>20580000</v>
      </c>
      <c r="W8" s="32">
        <f>+IF(Table1[[#This Row],[Thời gian LV chính thức]]&lt;6.1,0.5,IF(Table1[[#This Row],[Thời gian LV chính thức]]&lt;12,1,1.5))</f>
        <v>1</v>
      </c>
      <c r="X8" s="41">
        <f>ROUND(AVERAGE(Table1[[#This Row],[Tháng 1]:[Tháng 10]])*W8,-4)</f>
        <v>13720000</v>
      </c>
      <c r="Y8" s="56">
        <f>Table1[[#This Row],[Lương hỗ trợ tính cả TV]]-X8</f>
        <v>6860000</v>
      </c>
    </row>
    <row r="9" spans="1:25" ht="18" customHeight="1" x14ac:dyDescent="0.3">
      <c r="A9" s="24">
        <v>6</v>
      </c>
      <c r="B9" s="32" t="s">
        <v>83</v>
      </c>
      <c r="C9" s="26" t="s">
        <v>84</v>
      </c>
      <c r="D9" s="25" t="s">
        <v>85</v>
      </c>
      <c r="E9" s="25" t="s">
        <v>86</v>
      </c>
      <c r="F9" s="27">
        <v>45062</v>
      </c>
      <c r="G9" s="37">
        <f>DATEDIF(Table1[[#This Row],[Ngày vào công ty]],$F$2,"m")</f>
        <v>18</v>
      </c>
      <c r="H9" s="27">
        <v>45123</v>
      </c>
      <c r="I9" s="37">
        <f t="shared" si="0"/>
        <v>16</v>
      </c>
      <c r="J9" s="29">
        <v>9800000</v>
      </c>
      <c r="K9" s="29">
        <v>9050000</v>
      </c>
      <c r="L9" s="29">
        <v>11090500</v>
      </c>
      <c r="M9" s="29">
        <v>11075166.666666666</v>
      </c>
      <c r="N9" s="29">
        <v>11232833.333333334</v>
      </c>
      <c r="O9" s="29">
        <v>11181500</v>
      </c>
      <c r="P9" s="29">
        <v>11181500</v>
      </c>
      <c r="Q9" s="29">
        <v>11181500</v>
      </c>
      <c r="R9" s="29">
        <v>15895000</v>
      </c>
      <c r="S9" s="29">
        <v>15461500</v>
      </c>
      <c r="T9" s="40">
        <f t="shared" si="1"/>
        <v>11714950</v>
      </c>
      <c r="U9" s="32">
        <f>+IF(Table1[[#This Row],[Thời gian làm việc]]&lt;6,0.5,IF(Table1[[#This Row],[Thời gian làm việc]]&lt;12,1,1.5))</f>
        <v>1.5</v>
      </c>
      <c r="V9" s="41">
        <f t="shared" si="2"/>
        <v>17570000</v>
      </c>
      <c r="W9" s="32">
        <f>+IF(Table1[[#This Row],[Thời gian LV chính thức]]&lt;6.1,0.5,IF(Table1[[#This Row],[Thời gian LV chính thức]]&lt;12,1,1.5))</f>
        <v>1.5</v>
      </c>
      <c r="X9" s="41">
        <f>ROUND(Table1[[#This Row],[Lương BQ năm]]*W9,-4)</f>
        <v>17570000</v>
      </c>
      <c r="Y9" s="56">
        <f>Table1[[#This Row],[Lương hỗ trợ tính cả TV]]-X9</f>
        <v>0</v>
      </c>
    </row>
    <row r="10" spans="1:25" ht="18" customHeight="1" x14ac:dyDescent="0.3">
      <c r="A10" s="24">
        <v>7</v>
      </c>
      <c r="B10" s="32" t="s">
        <v>87</v>
      </c>
      <c r="C10" s="26" t="s">
        <v>88</v>
      </c>
      <c r="D10" s="25" t="s">
        <v>89</v>
      </c>
      <c r="E10" s="25" t="s">
        <v>90</v>
      </c>
      <c r="F10" s="27">
        <v>44611</v>
      </c>
      <c r="G10" s="37">
        <f>DATEDIF(Table1[[#This Row],[Ngày vào công ty]],$F$2,"m")</f>
        <v>33</v>
      </c>
      <c r="H10" s="27">
        <v>44670</v>
      </c>
      <c r="I10" s="37">
        <f t="shared" si="0"/>
        <v>31</v>
      </c>
      <c r="J10" s="29">
        <v>12981666.666666666</v>
      </c>
      <c r="K10" s="29">
        <v>12741500</v>
      </c>
      <c r="L10" s="29">
        <v>12620500</v>
      </c>
      <c r="M10" s="29">
        <v>18020000</v>
      </c>
      <c r="N10" s="29">
        <v>16610833.333333334</v>
      </c>
      <c r="O10" s="29">
        <v>17697333.333333332</v>
      </c>
      <c r="P10" s="29">
        <v>19297000</v>
      </c>
      <c r="Q10" s="29">
        <v>54668000</v>
      </c>
      <c r="R10" s="29">
        <v>19699289.130434781</v>
      </c>
      <c r="S10" s="29">
        <v>12023166.666666666</v>
      </c>
      <c r="T10" s="40">
        <f t="shared" si="1"/>
        <v>19635928.913043477</v>
      </c>
      <c r="U10" s="32">
        <f>+IF(Table1[[#This Row],[Thời gian làm việc]]&lt;6,0.5,IF(Table1[[#This Row],[Thời gian làm việc]]&lt;12,1,1.5))</f>
        <v>1.5</v>
      </c>
      <c r="V10" s="41">
        <f t="shared" si="2"/>
        <v>29450000</v>
      </c>
      <c r="W10" s="32">
        <f>+IF(Table1[[#This Row],[Thời gian LV chính thức]]&lt;6.1,0.5,IF(Table1[[#This Row],[Thời gian LV chính thức]]&lt;12,1,1.5))</f>
        <v>1.5</v>
      </c>
      <c r="X10" s="41">
        <f>ROUND(Table1[[#This Row],[Lương BQ năm]]*W10,-4)</f>
        <v>29450000</v>
      </c>
      <c r="Y10" s="56">
        <f>Table1[[#This Row],[Lương hỗ trợ tính cả TV]]-X10</f>
        <v>0</v>
      </c>
    </row>
    <row r="11" spans="1:25" ht="18" customHeight="1" x14ac:dyDescent="0.3">
      <c r="A11" s="24">
        <v>8</v>
      </c>
      <c r="B11" s="32" t="s">
        <v>91</v>
      </c>
      <c r="C11" s="26" t="s">
        <v>92</v>
      </c>
      <c r="D11" s="25" t="s">
        <v>89</v>
      </c>
      <c r="E11" s="25" t="s">
        <v>93</v>
      </c>
      <c r="F11" s="27">
        <v>44341</v>
      </c>
      <c r="G11" s="37">
        <f>DATEDIF(Table1[[#This Row],[Ngày vào công ty]],$F$2,"m")</f>
        <v>42</v>
      </c>
      <c r="H11" s="27">
        <v>44402</v>
      </c>
      <c r="I11" s="37">
        <f t="shared" si="0"/>
        <v>40</v>
      </c>
      <c r="J11" s="29">
        <v>16040000</v>
      </c>
      <c r="K11" s="29">
        <v>17820000</v>
      </c>
      <c r="L11" s="29">
        <v>18245000</v>
      </c>
      <c r="M11" s="29">
        <v>19259500</v>
      </c>
      <c r="N11" s="29">
        <v>19389000</v>
      </c>
      <c r="O11" s="29">
        <v>20511000</v>
      </c>
      <c r="P11" s="29">
        <v>19794000</v>
      </c>
      <c r="Q11" s="29">
        <v>17160000</v>
      </c>
      <c r="R11" s="29">
        <v>13679126.086956521</v>
      </c>
      <c r="S11" s="29">
        <v>14209000</v>
      </c>
      <c r="T11" s="40">
        <f t="shared" si="1"/>
        <v>17610662.608695652</v>
      </c>
      <c r="U11" s="32">
        <f>+IF(Table1[[#This Row],[Thời gian làm việc]]&lt;6,0.5,IF(Table1[[#This Row],[Thời gian làm việc]]&lt;12,1,1.5))</f>
        <v>1.5</v>
      </c>
      <c r="V11" s="41">
        <f t="shared" si="2"/>
        <v>26420000</v>
      </c>
      <c r="W11" s="32">
        <f>+IF(Table1[[#This Row],[Thời gian LV chính thức]]&lt;6.1,0.5,IF(Table1[[#This Row],[Thời gian LV chính thức]]&lt;12,1,1.5))</f>
        <v>1.5</v>
      </c>
      <c r="X11" s="41">
        <f>ROUND(Table1[[#This Row],[Lương BQ năm]]*W11,-4)</f>
        <v>26420000</v>
      </c>
      <c r="Y11" s="56">
        <f>Table1[[#This Row],[Lương hỗ trợ tính cả TV]]-X11</f>
        <v>0</v>
      </c>
    </row>
    <row r="12" spans="1:25" ht="18" customHeight="1" x14ac:dyDescent="0.3">
      <c r="A12" s="24">
        <v>9</v>
      </c>
      <c r="B12" s="32" t="s">
        <v>94</v>
      </c>
      <c r="C12" s="26" t="s">
        <v>95</v>
      </c>
      <c r="D12" s="25" t="s">
        <v>96</v>
      </c>
      <c r="E12" s="25" t="s">
        <v>93</v>
      </c>
      <c r="F12" s="27">
        <v>45013</v>
      </c>
      <c r="G12" s="37">
        <f>DATEDIF(Table1[[#This Row],[Ngày vào công ty]],$F$2,"m")</f>
        <v>20</v>
      </c>
      <c r="H12" s="27">
        <v>45074</v>
      </c>
      <c r="I12" s="37">
        <f t="shared" si="0"/>
        <v>18</v>
      </c>
      <c r="J12" s="29">
        <v>15315450</v>
      </c>
      <c r="K12" s="29">
        <v>7933800</v>
      </c>
      <c r="L12" s="29">
        <v>13982666.666666668</v>
      </c>
      <c r="M12" s="29">
        <v>16562083.333333334</v>
      </c>
      <c r="N12" s="29">
        <v>26322500</v>
      </c>
      <c r="O12" s="29">
        <v>15674000</v>
      </c>
      <c r="P12" s="29">
        <v>25160666.666666664</v>
      </c>
      <c r="Q12" s="29">
        <v>19726666.666666664</v>
      </c>
      <c r="R12" s="29">
        <v>28081250</v>
      </c>
      <c r="S12" s="29">
        <v>24193500</v>
      </c>
      <c r="T12" s="40">
        <f t="shared" si="1"/>
        <v>19295258.333333332</v>
      </c>
      <c r="U12" s="32">
        <f>+IF(Table1[[#This Row],[Thời gian làm việc]]&lt;6,0.5,IF(Table1[[#This Row],[Thời gian làm việc]]&lt;12,1,1.5))</f>
        <v>1.5</v>
      </c>
      <c r="V12" s="41">
        <f>ROUND(T12*U12,-4)</f>
        <v>28940000</v>
      </c>
      <c r="W12" s="32">
        <f>+IF(Table1[[#This Row],[Thời gian LV chính thức]]&lt;6.1,0.5,IF(Table1[[#This Row],[Thời gian LV chính thức]]&lt;12,1,1.5))</f>
        <v>1.5</v>
      </c>
      <c r="X12" s="41">
        <f>ROUND(Table1[[#This Row],[Lương BQ năm]]*W12,-4)</f>
        <v>28940000</v>
      </c>
      <c r="Y12" s="56">
        <f>Table1[[#This Row],[Lương hỗ trợ tính cả TV]]-X12</f>
        <v>0</v>
      </c>
    </row>
    <row r="13" spans="1:25" ht="18" customHeight="1" x14ac:dyDescent="0.3">
      <c r="A13" s="24">
        <v>10</v>
      </c>
      <c r="B13" s="32" t="s">
        <v>97</v>
      </c>
      <c r="C13" s="26" t="s">
        <v>98</v>
      </c>
      <c r="D13" s="25" t="s">
        <v>89</v>
      </c>
      <c r="E13" s="25" t="s">
        <v>93</v>
      </c>
      <c r="F13" s="27">
        <v>44708.594696597225</v>
      </c>
      <c r="G13" s="37">
        <f>DATEDIF(Table1[[#This Row],[Ngày vào công ty]],$F$2,"m")</f>
        <v>30</v>
      </c>
      <c r="H13" s="27">
        <v>44769</v>
      </c>
      <c r="I13" s="37">
        <f t="shared" si="0"/>
        <v>28</v>
      </c>
      <c r="J13" s="29">
        <v>12122000</v>
      </c>
      <c r="K13" s="29">
        <v>11660000</v>
      </c>
      <c r="L13" s="29">
        <v>16628000</v>
      </c>
      <c r="M13" s="29">
        <v>14998000</v>
      </c>
      <c r="N13" s="29">
        <v>32938000</v>
      </c>
      <c r="O13" s="29">
        <v>18026833.333333336</v>
      </c>
      <c r="P13" s="29">
        <v>18140333.333333332</v>
      </c>
      <c r="Q13" s="29">
        <v>18583916.666666668</v>
      </c>
      <c r="R13" s="29">
        <v>15813119.565217391</v>
      </c>
      <c r="S13" s="29">
        <v>14940750</v>
      </c>
      <c r="T13" s="40">
        <f t="shared" si="1"/>
        <v>17385095.289855074</v>
      </c>
      <c r="U13" s="32">
        <f>+IF(Table1[[#This Row],[Thời gian làm việc]]&lt;6,0.5,IF(Table1[[#This Row],[Thời gian làm việc]]&lt;12,1,1.5))</f>
        <v>1.5</v>
      </c>
      <c r="V13" s="41">
        <f>ROUND(T13*U13,-4)</f>
        <v>26080000</v>
      </c>
      <c r="W13" s="32">
        <f>+IF(Table1[[#This Row],[Thời gian LV chính thức]]&lt;6.1,0.5,IF(Table1[[#This Row],[Thời gian LV chính thức]]&lt;12,1,1.5))</f>
        <v>1.5</v>
      </c>
      <c r="X13" s="41">
        <f>ROUND(Table1[[#This Row],[Lương BQ năm]]*W13,-4)</f>
        <v>26080000</v>
      </c>
      <c r="Y13" s="56">
        <f>Table1[[#This Row],[Lương hỗ trợ tính cả TV]]-X13</f>
        <v>0</v>
      </c>
    </row>
    <row r="14" spans="1:25" ht="18" customHeight="1" x14ac:dyDescent="0.3">
      <c r="A14" s="24">
        <v>11</v>
      </c>
      <c r="B14" s="32" t="s">
        <v>99</v>
      </c>
      <c r="C14" s="31" t="s">
        <v>100</v>
      </c>
      <c r="D14" s="25" t="s">
        <v>96</v>
      </c>
      <c r="E14" s="25" t="s">
        <v>101</v>
      </c>
      <c r="F14" s="27">
        <v>45363</v>
      </c>
      <c r="G14" s="37">
        <f>DATEDIF(Table1[[#This Row],[Ngày vào công ty]],$F$2,"m")</f>
        <v>8</v>
      </c>
      <c r="H14" s="27">
        <v>45455</v>
      </c>
      <c r="I14" s="37">
        <f t="shared" si="0"/>
        <v>5</v>
      </c>
      <c r="J14" s="29"/>
      <c r="K14" s="29"/>
      <c r="L14" s="29">
        <v>4401333.333333334</v>
      </c>
      <c r="M14" s="29">
        <v>8257416.666666667</v>
      </c>
      <c r="N14" s="29">
        <v>15565833.333333334</v>
      </c>
      <c r="O14" s="29">
        <v>11855000</v>
      </c>
      <c r="P14" s="29">
        <v>13645500</v>
      </c>
      <c r="Q14" s="29">
        <v>21372416.666666668</v>
      </c>
      <c r="R14" s="29">
        <v>18070500</v>
      </c>
      <c r="S14" s="29">
        <v>14715333.333333334</v>
      </c>
      <c r="T14" s="40">
        <f t="shared" si="1"/>
        <v>13485416.666666666</v>
      </c>
      <c r="U14" s="32">
        <f>+IF(Table1[[#This Row],[Thời gian làm việc]]&lt;6,0.5,IF(Table1[[#This Row],[Thời gian làm việc]]&lt;12,1,1.5))</f>
        <v>1</v>
      </c>
      <c r="V14" s="41">
        <f t="shared" si="2"/>
        <v>13490000</v>
      </c>
      <c r="W14" s="32">
        <f>+IF(Table1[[#This Row],[Thời gian LV chính thức]]&lt;6.1,0.5,IF(Table1[[#This Row],[Thời gian LV chính thức]]&lt;12,1,1.5))</f>
        <v>0.5</v>
      </c>
      <c r="X14" s="41">
        <f>ROUND(AVERAGE(Table1[[#This Row],[Tháng 6]:[Tháng 10]])*W14,-4)</f>
        <v>7970000</v>
      </c>
      <c r="Y14" s="56">
        <f>Table1[[#This Row],[Lương hỗ trợ tính cả TV]]-X14</f>
        <v>5520000</v>
      </c>
    </row>
    <row r="15" spans="1:25" ht="18" customHeight="1" x14ac:dyDescent="0.3">
      <c r="A15" s="24">
        <v>12</v>
      </c>
      <c r="B15" s="32" t="s">
        <v>102</v>
      </c>
      <c r="C15" s="31" t="s">
        <v>103</v>
      </c>
      <c r="D15" s="25" t="s">
        <v>104</v>
      </c>
      <c r="E15" s="25" t="s">
        <v>105</v>
      </c>
      <c r="F15" s="27">
        <v>45496</v>
      </c>
      <c r="G15" s="37">
        <f>DATEDIF(Table1[[#This Row],[Ngày vào công ty]],$F$2,"m")</f>
        <v>4</v>
      </c>
      <c r="H15" s="27">
        <v>45558</v>
      </c>
      <c r="I15" s="37">
        <f t="shared" si="0"/>
        <v>2</v>
      </c>
      <c r="J15" s="29"/>
      <c r="K15" s="29"/>
      <c r="L15" s="29"/>
      <c r="M15" s="29"/>
      <c r="N15" s="29"/>
      <c r="O15" s="29"/>
      <c r="P15" s="29">
        <v>2370000</v>
      </c>
      <c r="Q15" s="29">
        <v>14144825.268817205</v>
      </c>
      <c r="R15" s="29">
        <v>22710250</v>
      </c>
      <c r="S15" s="29">
        <v>17340000</v>
      </c>
      <c r="T15" s="40">
        <f t="shared" si="1"/>
        <v>14141268.8172043</v>
      </c>
      <c r="U15" s="32">
        <f>+IF(Table1[[#This Row],[Thời gian làm việc]]&lt;6,0.5,IF(Table1[[#This Row],[Thời gian làm việc]]&lt;12,1,1.5))</f>
        <v>0.5</v>
      </c>
      <c r="V15" s="41">
        <f t="shared" si="2"/>
        <v>7070000</v>
      </c>
      <c r="W15" s="32">
        <f>+IF(Table1[[#This Row],[Thời gian LV chính thức]]&lt;6.1,0.5,IF(Table1[[#This Row],[Thời gian LV chính thức]]&lt;12,1,1.5))</f>
        <v>0.5</v>
      </c>
      <c r="X15" s="41">
        <f>ROUND(Table1[[#This Row],[Lương BQ năm]]*W15,-4)</f>
        <v>7070000</v>
      </c>
      <c r="Y15" s="56">
        <f>Table1[[#This Row],[Lương hỗ trợ tính cả TV]]-X15</f>
        <v>0</v>
      </c>
    </row>
    <row r="16" spans="1:25" ht="18" customHeight="1" x14ac:dyDescent="0.3">
      <c r="A16" s="24">
        <v>13</v>
      </c>
      <c r="B16" s="32" t="s">
        <v>106</v>
      </c>
      <c r="C16" s="31" t="s">
        <v>107</v>
      </c>
      <c r="D16" s="25" t="s">
        <v>108</v>
      </c>
      <c r="E16" s="25" t="s">
        <v>109</v>
      </c>
      <c r="F16" s="27">
        <v>45516</v>
      </c>
      <c r="G16" s="37">
        <f>DATEDIF(Table1[[#This Row],[Ngày vào công ty]],$F$2,"m")</f>
        <v>3</v>
      </c>
      <c r="H16" s="27">
        <v>45577</v>
      </c>
      <c r="I16" s="37">
        <f t="shared" si="0"/>
        <v>1</v>
      </c>
      <c r="J16" s="29"/>
      <c r="K16" s="29"/>
      <c r="L16" s="29"/>
      <c r="M16" s="29"/>
      <c r="N16" s="29"/>
      <c r="O16" s="29"/>
      <c r="P16" s="29"/>
      <c r="Q16" s="29">
        <v>7704000</v>
      </c>
      <c r="R16" s="29">
        <v>13000000</v>
      </c>
      <c r="S16" s="29">
        <v>12495037.037037037</v>
      </c>
      <c r="T16" s="40">
        <f>AVERAGE(J16:S16)</f>
        <v>11066345.679012345</v>
      </c>
      <c r="U16" s="32">
        <f>+IF(Table1[[#This Row],[Thời gian làm việc]]&lt;6,0.5,IF(Table1[[#This Row],[Thời gian làm việc]]&lt;12,1,1.5))</f>
        <v>0.5</v>
      </c>
      <c r="V16" s="41">
        <f>ROUND(T16*U16,-4)</f>
        <v>5530000</v>
      </c>
      <c r="W16" s="32">
        <f>+IF(Table1[[#This Row],[Thời gian LV chính thức]]&lt;6.1,0.5,IF(Table1[[#This Row],[Thời gian LV chính thức]]&lt;12,1,1.5))</f>
        <v>0.5</v>
      </c>
      <c r="X16" s="41">
        <f>ROUND(Table1[[#This Row],[Lương BQ năm]]*W16,-4)</f>
        <v>5530000</v>
      </c>
      <c r="Y16" s="56">
        <f>Table1[[#This Row],[Lương hỗ trợ tính cả TV]]-X16</f>
        <v>0</v>
      </c>
    </row>
    <row r="17" spans="1:25" ht="18" customHeight="1" x14ac:dyDescent="0.3">
      <c r="A17" s="24">
        <v>14</v>
      </c>
      <c r="B17" s="32" t="s">
        <v>110</v>
      </c>
      <c r="C17" s="31" t="s">
        <v>111</v>
      </c>
      <c r="D17" s="25" t="s">
        <v>96</v>
      </c>
      <c r="E17" s="25" t="s">
        <v>90</v>
      </c>
      <c r="F17" s="27">
        <v>45496</v>
      </c>
      <c r="G17" s="37">
        <f>DATEDIF(Table1[[#This Row],[Ngày vào công ty]],$F$2,"m")</f>
        <v>4</v>
      </c>
      <c r="H17" s="27">
        <v>45558</v>
      </c>
      <c r="I17" s="37">
        <f t="shared" si="0"/>
        <v>2</v>
      </c>
      <c r="J17" s="29"/>
      <c r="K17" s="29"/>
      <c r="L17" s="29"/>
      <c r="M17" s="29"/>
      <c r="N17" s="29"/>
      <c r="O17" s="29"/>
      <c r="P17" s="29">
        <v>3304333.3333333335</v>
      </c>
      <c r="Q17" s="29">
        <v>27366000</v>
      </c>
      <c r="R17" s="29">
        <v>20543152.173913043</v>
      </c>
      <c r="S17" s="29">
        <v>12789416.666666666</v>
      </c>
      <c r="T17" s="40">
        <f t="shared" si="1"/>
        <v>16000725.54347826</v>
      </c>
      <c r="U17" s="32">
        <f>+IF(Table1[[#This Row],[Thời gian làm việc]]&lt;6,0.5,IF(Table1[[#This Row],[Thời gian làm việc]]&lt;12,1,1.5))</f>
        <v>0.5</v>
      </c>
      <c r="V17" s="41">
        <f t="shared" si="2"/>
        <v>8000000</v>
      </c>
      <c r="W17" s="32">
        <f>+IF(Table1[[#This Row],[Thời gian LV chính thức]]&lt;6.1,0.5,IF(Table1[[#This Row],[Thời gian LV chính thức]]&lt;12,1,1.5))</f>
        <v>0.5</v>
      </c>
      <c r="X17" s="41">
        <f>ROUND(Table1[[#This Row],[Lương BQ năm]]*W17,-4)</f>
        <v>8000000</v>
      </c>
      <c r="Y17" s="56">
        <f>Table1[[#This Row],[Lương hỗ trợ tính cả TV]]-X17</f>
        <v>0</v>
      </c>
    </row>
    <row r="18" spans="1:25" ht="18" customHeight="1" x14ac:dyDescent="0.3">
      <c r="A18" s="24">
        <v>15</v>
      </c>
      <c r="B18" s="32" t="s">
        <v>113</v>
      </c>
      <c r="C18" s="31" t="s">
        <v>114</v>
      </c>
      <c r="D18" s="25" t="s">
        <v>96</v>
      </c>
      <c r="E18" s="25" t="s">
        <v>115</v>
      </c>
      <c r="F18" s="27">
        <v>45397</v>
      </c>
      <c r="G18" s="37">
        <f>DATEDIF(Table1[[#This Row],[Ngày vào công ty]],$F$2,"m")</f>
        <v>7</v>
      </c>
      <c r="H18" s="27">
        <v>45458</v>
      </c>
      <c r="I18" s="37">
        <f t="shared" si="0"/>
        <v>5</v>
      </c>
      <c r="J18" s="29"/>
      <c r="K18" s="29"/>
      <c r="L18" s="29"/>
      <c r="M18" s="29">
        <v>4971500</v>
      </c>
      <c r="N18" s="29">
        <v>11188250</v>
      </c>
      <c r="O18" s="29">
        <v>18322000</v>
      </c>
      <c r="P18" s="29">
        <v>21794250</v>
      </c>
      <c r="Q18" s="29">
        <v>23795500</v>
      </c>
      <c r="R18" s="29">
        <v>21154000</v>
      </c>
      <c r="S18" s="29">
        <v>22030000</v>
      </c>
      <c r="T18" s="40">
        <f t="shared" si="1"/>
        <v>17607928.571428571</v>
      </c>
      <c r="U18" s="32">
        <f>+IF(Table1[[#This Row],[Thời gian làm việc]]&lt;6,0.5,IF(Table1[[#This Row],[Thời gian làm việc]]&lt;12,1,1.5))</f>
        <v>1</v>
      </c>
      <c r="V18" s="41">
        <f t="shared" si="2"/>
        <v>17610000</v>
      </c>
      <c r="W18" s="32">
        <f>+IF(Table1[[#This Row],[Thời gian LV chính thức]]&lt;6.1,0.5,IF(Table1[[#This Row],[Thời gian LV chính thức]]&lt;12,1,1.5))</f>
        <v>0.5</v>
      </c>
      <c r="X18" s="41">
        <f>ROUND(AVERAGE(Table1[[#This Row],[Tháng 6]:[Tháng 10]])*W18,-4)</f>
        <v>10710000</v>
      </c>
      <c r="Y18" s="56">
        <f>Table1[[#This Row],[Lương hỗ trợ tính cả TV]]-X18</f>
        <v>6900000</v>
      </c>
    </row>
    <row r="19" spans="1:25" ht="18" customHeight="1" x14ac:dyDescent="0.3">
      <c r="A19" s="24">
        <v>16</v>
      </c>
      <c r="B19" s="32" t="s">
        <v>116</v>
      </c>
      <c r="C19" s="31" t="s">
        <v>117</v>
      </c>
      <c r="D19" s="25" t="s">
        <v>96</v>
      </c>
      <c r="E19" s="25" t="s">
        <v>118</v>
      </c>
      <c r="F19" s="27">
        <v>45544</v>
      </c>
      <c r="G19" s="37">
        <f>DATEDIF(Table1[[#This Row],[Ngày vào công ty]],$F$2,"m")</f>
        <v>2</v>
      </c>
      <c r="H19" s="27">
        <v>45605</v>
      </c>
      <c r="I19" s="37">
        <f t="shared" si="0"/>
        <v>0</v>
      </c>
      <c r="J19" s="29"/>
      <c r="K19" s="29"/>
      <c r="L19" s="29"/>
      <c r="M19" s="29"/>
      <c r="N19" s="29"/>
      <c r="O19" s="29"/>
      <c r="P19" s="29"/>
      <c r="Q19" s="29"/>
      <c r="R19" s="29">
        <v>6147000</v>
      </c>
      <c r="S19" s="29">
        <v>8899000</v>
      </c>
      <c r="T19" s="40">
        <f t="shared" si="1"/>
        <v>7523000</v>
      </c>
      <c r="U19" s="32">
        <f>+IF(Table1[[#This Row],[Thời gian làm việc]]&lt;6,0.5,IF(Table1[[#This Row],[Thời gian làm việc]]&lt;12,1,1.5))</f>
        <v>0.5</v>
      </c>
      <c r="V19" s="41">
        <f t="shared" si="2"/>
        <v>3760000</v>
      </c>
      <c r="W19" s="32">
        <f>+IF(Table1[[#This Row],[Thời gian LV chính thức]]&lt;6.1,0.5,IF(Table1[[#This Row],[Thời gian LV chính thức]]&lt;12,1,1.5))</f>
        <v>0.5</v>
      </c>
      <c r="X19" s="41">
        <f>ROUND(Table1[[#This Row],[Lương BQ năm]]*W19,-4)</f>
        <v>3760000</v>
      </c>
      <c r="Y19" s="56">
        <f>Table1[[#This Row],[Lương hỗ trợ tính cả TV]]-X19</f>
        <v>0</v>
      </c>
    </row>
    <row r="20" spans="1:25" ht="18" customHeight="1" x14ac:dyDescent="0.3">
      <c r="A20" s="24">
        <v>17</v>
      </c>
      <c r="B20" s="32" t="s">
        <v>119</v>
      </c>
      <c r="C20" s="31" t="s">
        <v>120</v>
      </c>
      <c r="D20" s="25" t="s">
        <v>89</v>
      </c>
      <c r="E20" s="25" t="s">
        <v>101</v>
      </c>
      <c r="F20" s="27">
        <v>45030</v>
      </c>
      <c r="G20" s="37">
        <f>DATEDIF(Table1[[#This Row],[Ngày vào công ty]],$F$2,"m")</f>
        <v>19</v>
      </c>
      <c r="H20" s="27">
        <v>45091</v>
      </c>
      <c r="I20" s="37">
        <f t="shared" si="0"/>
        <v>17</v>
      </c>
      <c r="J20" s="29">
        <v>8006080.6451612907</v>
      </c>
      <c r="K20" s="29">
        <v>10334000</v>
      </c>
      <c r="L20" s="29">
        <v>16527000</v>
      </c>
      <c r="M20" s="29">
        <v>15385000</v>
      </c>
      <c r="N20" s="29">
        <v>15440666.666666666</v>
      </c>
      <c r="O20" s="29">
        <v>18722000</v>
      </c>
      <c r="P20" s="29">
        <v>16683500</v>
      </c>
      <c r="Q20" s="29">
        <v>16749666.666666666</v>
      </c>
      <c r="R20" s="29">
        <v>18353000</v>
      </c>
      <c r="S20" s="29">
        <v>12603666.666666666</v>
      </c>
      <c r="T20" s="40">
        <f t="shared" si="1"/>
        <v>14880458.064516131</v>
      </c>
      <c r="U20" s="32">
        <f>+IF(Table1[[#This Row],[Thời gian làm việc]]&lt;6,0.5,IF(Table1[[#This Row],[Thời gian làm việc]]&lt;12,1,1.5))</f>
        <v>1.5</v>
      </c>
      <c r="V20" s="41">
        <f t="shared" si="2"/>
        <v>22320000</v>
      </c>
      <c r="W20" s="32">
        <f>+IF(Table1[[#This Row],[Thời gian LV chính thức]]&lt;6.1,0.5,IF(Table1[[#This Row],[Thời gian LV chính thức]]&lt;12,1,1.5))</f>
        <v>1.5</v>
      </c>
      <c r="X20" s="41">
        <f>ROUND(Table1[[#This Row],[Lương BQ năm]]*W20,-4)</f>
        <v>22320000</v>
      </c>
      <c r="Y20" s="56">
        <f>Table1[[#This Row],[Lương hỗ trợ tính cả TV]]-X20</f>
        <v>0</v>
      </c>
    </row>
    <row r="21" spans="1:25" ht="18" customHeight="1" x14ac:dyDescent="0.3">
      <c r="A21" s="24">
        <v>18</v>
      </c>
      <c r="B21" s="45" t="s">
        <v>155</v>
      </c>
      <c r="C21" s="31" t="s">
        <v>156</v>
      </c>
      <c r="D21" s="25" t="s">
        <v>157</v>
      </c>
      <c r="E21" s="25" t="s">
        <v>158</v>
      </c>
      <c r="F21" s="27">
        <v>45478</v>
      </c>
      <c r="G21" s="37">
        <f>DATEDIF(Table1[[#This Row],[Ngày vào công ty]],$F$2,"m")</f>
        <v>4</v>
      </c>
      <c r="H21" s="27">
        <v>45540</v>
      </c>
      <c r="I21" s="37">
        <f t="shared" si="0"/>
        <v>2</v>
      </c>
      <c r="J21" s="29"/>
      <c r="K21" s="29"/>
      <c r="L21" s="29"/>
      <c r="M21" s="29"/>
      <c r="N21" s="29"/>
      <c r="O21" s="29"/>
      <c r="P21" s="29">
        <v>21722000</v>
      </c>
      <c r="Q21" s="29">
        <v>25500000</v>
      </c>
      <c r="R21" s="29">
        <v>27600000</v>
      </c>
      <c r="S21" s="29">
        <v>35130000</v>
      </c>
      <c r="T21" s="40">
        <f>AVERAGE(J21:S21)</f>
        <v>27488000</v>
      </c>
      <c r="U21" s="32">
        <f>+IF(Table1[[#This Row],[Thời gian làm việc]]&lt;6,0.5,IF(Table1[[#This Row],[Thời gian làm việc]]&lt;12,1,1.5))</f>
        <v>0.5</v>
      </c>
      <c r="V21" s="41">
        <f>ROUND(T21*U21,-4)</f>
        <v>13740000</v>
      </c>
      <c r="W21" s="32">
        <f>+IF(Table1[[#This Row],[Thời gian LV chính thức]]&lt;6.1,0.5,IF(Table1[[#This Row],[Thời gian LV chính thức]]&lt;12,1,1.5))</f>
        <v>0.5</v>
      </c>
      <c r="X21" s="41">
        <f>ROUND(Table1[[#This Row],[Lương BQ năm]]*W21,-4)</f>
        <v>13740000</v>
      </c>
      <c r="Y21" s="56">
        <f>Table1[[#This Row],[Lương hỗ trợ tính cả TV]]-X21</f>
        <v>0</v>
      </c>
    </row>
    <row r="22" spans="1:25" ht="18" customHeight="1" x14ac:dyDescent="0.3">
      <c r="A22" s="33"/>
      <c r="B22" s="34"/>
      <c r="C22" s="34"/>
      <c r="D22" s="34"/>
      <c r="E22" s="34"/>
      <c r="F22" s="35"/>
      <c r="G22" s="34"/>
      <c r="H22" s="35"/>
      <c r="I22" s="34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4"/>
      <c r="U22" s="34"/>
      <c r="V22" s="42">
        <f>SUM(V4:V21)</f>
        <v>273920000</v>
      </c>
      <c r="W22" s="34"/>
      <c r="X22" s="42">
        <f>SUM(X4:X21)</f>
        <v>250950000</v>
      </c>
    </row>
  </sheetData>
  <autoFilter ref="W3:Y22" xr:uid="{AE5C8671-5ACD-439B-892E-7AB272EDE19F}"/>
  <conditionalFormatting sqref="B21">
    <cfRule type="duplicateValues" dxfId="1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BF4AE-8D61-450B-BE90-1C821A270775}">
  <dimension ref="A1:K21"/>
  <sheetViews>
    <sheetView showGridLines="0" topLeftCell="A2" zoomScale="88" zoomScaleNormal="88" workbookViewId="0">
      <selection activeCell="H25" sqref="H25"/>
    </sheetView>
  </sheetViews>
  <sheetFormatPr defaultRowHeight="13.8" x14ac:dyDescent="0.3"/>
  <cols>
    <col min="1" max="1" width="6.21875" style="15" customWidth="1"/>
    <col min="2" max="2" width="13.77734375" style="15" customWidth="1"/>
    <col min="3" max="3" width="17.77734375" style="15" customWidth="1"/>
    <col min="4" max="4" width="18.109375" style="15" customWidth="1"/>
    <col min="5" max="5" width="17.5546875" style="15" customWidth="1"/>
    <col min="6" max="6" width="17.88671875" style="17" customWidth="1"/>
    <col min="7" max="7" width="12" style="17" customWidth="1"/>
    <col min="8" max="8" width="18.77734375" style="15" customWidth="1"/>
    <col min="9" max="9" width="20.77734375" style="18" customWidth="1"/>
    <col min="10" max="10" width="29.109375" style="18" customWidth="1"/>
    <col min="11" max="11" width="14.21875" style="15" customWidth="1"/>
    <col min="12" max="16384" width="8.88671875" style="15"/>
  </cols>
  <sheetData>
    <row r="1" spans="1:11" ht="27" customHeight="1" x14ac:dyDescent="0.3">
      <c r="C1" s="16" t="s">
        <v>55</v>
      </c>
    </row>
    <row r="2" spans="1:11" x14ac:dyDescent="0.3">
      <c r="F2" s="19">
        <v>45626</v>
      </c>
      <c r="G2" s="19"/>
    </row>
    <row r="3" spans="1:11" ht="33" customHeight="1" x14ac:dyDescent="0.3">
      <c r="A3" s="20" t="s">
        <v>56</v>
      </c>
      <c r="B3" s="21" t="s">
        <v>57</v>
      </c>
      <c r="C3" s="21" t="s">
        <v>58</v>
      </c>
      <c r="D3" s="21" t="s">
        <v>59</v>
      </c>
      <c r="E3" s="21" t="s">
        <v>60</v>
      </c>
      <c r="F3" s="21" t="s">
        <v>61</v>
      </c>
      <c r="G3" s="21" t="s">
        <v>121</v>
      </c>
      <c r="H3" s="21" t="s">
        <v>62</v>
      </c>
      <c r="I3" s="22" t="s">
        <v>63</v>
      </c>
      <c r="J3" s="23" t="s">
        <v>64</v>
      </c>
    </row>
    <row r="4" spans="1:11" ht="18" customHeight="1" x14ac:dyDescent="0.3">
      <c r="A4" s="24">
        <v>1</v>
      </c>
      <c r="B4" s="25" t="s">
        <v>65</v>
      </c>
      <c r="C4" s="26" t="s">
        <v>66</v>
      </c>
      <c r="D4" s="25" t="s">
        <v>67</v>
      </c>
      <c r="E4" s="25" t="s">
        <v>68</v>
      </c>
      <c r="F4" s="27">
        <v>44086</v>
      </c>
      <c r="G4" s="37">
        <f t="shared" ref="G4:G20" si="0">DATEDIF(F4,$F$2,"y")</f>
        <v>4</v>
      </c>
      <c r="H4" s="28">
        <v>45627</v>
      </c>
      <c r="I4" s="29"/>
      <c r="J4" s="29"/>
      <c r="K4" s="15" t="s">
        <v>122</v>
      </c>
    </row>
    <row r="5" spans="1:11" ht="30.6" customHeight="1" x14ac:dyDescent="0.3">
      <c r="A5" s="24">
        <v>2</v>
      </c>
      <c r="B5" s="25" t="s">
        <v>69</v>
      </c>
      <c r="C5" s="26" t="s">
        <v>70</v>
      </c>
      <c r="D5" s="25" t="s">
        <v>71</v>
      </c>
      <c r="E5" s="25" t="s">
        <v>68</v>
      </c>
      <c r="F5" s="27">
        <v>45428</v>
      </c>
      <c r="G5" s="37">
        <f t="shared" si="0"/>
        <v>0</v>
      </c>
      <c r="H5" s="28">
        <v>45627</v>
      </c>
      <c r="I5" s="29"/>
      <c r="J5" s="30" t="s">
        <v>72</v>
      </c>
      <c r="K5" s="15" t="s">
        <v>123</v>
      </c>
    </row>
    <row r="6" spans="1:11" ht="30.6" customHeight="1" x14ac:dyDescent="0.3">
      <c r="A6" s="24">
        <v>3</v>
      </c>
      <c r="B6" s="25" t="s">
        <v>73</v>
      </c>
      <c r="C6" s="26" t="s">
        <v>74</v>
      </c>
      <c r="D6" s="25" t="s">
        <v>71</v>
      </c>
      <c r="E6" s="25" t="s">
        <v>68</v>
      </c>
      <c r="F6" s="27">
        <v>45457</v>
      </c>
      <c r="G6" s="37">
        <f t="shared" si="0"/>
        <v>0</v>
      </c>
      <c r="H6" s="28">
        <v>45627</v>
      </c>
      <c r="I6" s="29"/>
      <c r="J6" s="30" t="s">
        <v>72</v>
      </c>
      <c r="K6" s="15" t="s">
        <v>123</v>
      </c>
    </row>
    <row r="7" spans="1:11" ht="18" customHeight="1" x14ac:dyDescent="0.3">
      <c r="A7" s="24">
        <v>4</v>
      </c>
      <c r="B7" s="25" t="s">
        <v>75</v>
      </c>
      <c r="C7" s="26" t="s">
        <v>76</v>
      </c>
      <c r="D7" s="25" t="s">
        <v>77</v>
      </c>
      <c r="E7" s="25" t="s">
        <v>78</v>
      </c>
      <c r="F7" s="27">
        <v>45474</v>
      </c>
      <c r="G7" s="37">
        <f t="shared" si="0"/>
        <v>0</v>
      </c>
      <c r="H7" s="28">
        <v>45620</v>
      </c>
      <c r="I7" s="29"/>
      <c r="J7" s="29"/>
      <c r="K7" s="15" t="s">
        <v>122</v>
      </c>
    </row>
    <row r="8" spans="1:11" ht="18" customHeight="1" x14ac:dyDescent="0.3">
      <c r="A8" s="24">
        <v>5</v>
      </c>
      <c r="B8" s="25" t="s">
        <v>79</v>
      </c>
      <c r="C8" s="26" t="s">
        <v>80</v>
      </c>
      <c r="D8" s="25" t="s">
        <v>81</v>
      </c>
      <c r="E8" s="25" t="s">
        <v>82</v>
      </c>
      <c r="F8" s="27">
        <v>45245</v>
      </c>
      <c r="G8" s="37">
        <f t="shared" si="0"/>
        <v>1</v>
      </c>
      <c r="H8" s="28">
        <v>45627</v>
      </c>
      <c r="I8" s="29"/>
      <c r="J8" s="29"/>
      <c r="K8" s="15" t="s">
        <v>122</v>
      </c>
    </row>
    <row r="9" spans="1:11" ht="18" customHeight="1" x14ac:dyDescent="0.3">
      <c r="A9" s="24">
        <v>6</v>
      </c>
      <c r="B9" s="25" t="s">
        <v>83</v>
      </c>
      <c r="C9" s="26" t="s">
        <v>84</v>
      </c>
      <c r="D9" s="25" t="s">
        <v>85</v>
      </c>
      <c r="E9" s="25" t="s">
        <v>86</v>
      </c>
      <c r="F9" s="27">
        <v>45062</v>
      </c>
      <c r="G9" s="37">
        <f t="shared" si="0"/>
        <v>1</v>
      </c>
      <c r="H9" s="28">
        <v>45627</v>
      </c>
      <c r="I9" s="29"/>
      <c r="J9" s="29"/>
      <c r="K9" s="15" t="s">
        <v>122</v>
      </c>
    </row>
    <row r="10" spans="1:11" ht="18" customHeight="1" x14ac:dyDescent="0.3">
      <c r="A10" s="24">
        <v>7</v>
      </c>
      <c r="B10" s="25" t="s">
        <v>87</v>
      </c>
      <c r="C10" s="26" t="s">
        <v>88</v>
      </c>
      <c r="D10" s="25" t="s">
        <v>89</v>
      </c>
      <c r="E10" s="25" t="s">
        <v>90</v>
      </c>
      <c r="F10" s="27">
        <v>44611</v>
      </c>
      <c r="G10" s="37">
        <f t="shared" si="0"/>
        <v>2</v>
      </c>
      <c r="H10" s="28">
        <v>45627</v>
      </c>
      <c r="I10" s="29"/>
      <c r="J10" s="29"/>
      <c r="K10" s="15" t="s">
        <v>123</v>
      </c>
    </row>
    <row r="11" spans="1:11" ht="18" customHeight="1" x14ac:dyDescent="0.3">
      <c r="A11" s="24">
        <v>8</v>
      </c>
      <c r="B11" s="25" t="s">
        <v>91</v>
      </c>
      <c r="C11" s="26" t="s">
        <v>92</v>
      </c>
      <c r="D11" s="25" t="s">
        <v>89</v>
      </c>
      <c r="E11" s="25" t="s">
        <v>93</v>
      </c>
      <c r="F11" s="27">
        <v>44341</v>
      </c>
      <c r="G11" s="37">
        <f t="shared" si="0"/>
        <v>3</v>
      </c>
      <c r="H11" s="28">
        <v>45627</v>
      </c>
      <c r="I11" s="29"/>
      <c r="J11" s="29"/>
      <c r="K11" s="15" t="s">
        <v>123</v>
      </c>
    </row>
    <row r="12" spans="1:11" ht="18" customHeight="1" x14ac:dyDescent="0.3">
      <c r="A12" s="24">
        <v>9</v>
      </c>
      <c r="B12" s="25" t="s">
        <v>94</v>
      </c>
      <c r="C12" s="26" t="s">
        <v>95</v>
      </c>
      <c r="D12" s="25" t="s">
        <v>96</v>
      </c>
      <c r="E12" s="25" t="s">
        <v>93</v>
      </c>
      <c r="F12" s="27">
        <v>45013</v>
      </c>
      <c r="G12" s="37">
        <f t="shared" si="0"/>
        <v>1</v>
      </c>
      <c r="H12" s="28">
        <v>45627</v>
      </c>
      <c r="I12" s="29"/>
      <c r="J12" s="29"/>
      <c r="K12" s="15" t="s">
        <v>122</v>
      </c>
    </row>
    <row r="13" spans="1:11" ht="18" customHeight="1" x14ac:dyDescent="0.3">
      <c r="A13" s="24">
        <v>10</v>
      </c>
      <c r="B13" s="25" t="s">
        <v>97</v>
      </c>
      <c r="C13" s="26" t="s">
        <v>98</v>
      </c>
      <c r="D13" s="25" t="s">
        <v>89</v>
      </c>
      <c r="E13" s="25" t="s">
        <v>93</v>
      </c>
      <c r="F13" s="27">
        <v>44708.594696597225</v>
      </c>
      <c r="G13" s="37">
        <f t="shared" si="0"/>
        <v>2</v>
      </c>
      <c r="H13" s="28">
        <v>45627</v>
      </c>
      <c r="I13" s="29"/>
      <c r="J13" s="29"/>
      <c r="K13" s="15" t="s">
        <v>122</v>
      </c>
    </row>
    <row r="14" spans="1:11" ht="18" customHeight="1" x14ac:dyDescent="0.3">
      <c r="A14" s="24">
        <v>11</v>
      </c>
      <c r="B14" s="25" t="s">
        <v>99</v>
      </c>
      <c r="C14" s="31" t="s">
        <v>100</v>
      </c>
      <c r="D14" s="25" t="s">
        <v>96</v>
      </c>
      <c r="E14" s="25" t="s">
        <v>101</v>
      </c>
      <c r="F14" s="27">
        <v>45363</v>
      </c>
      <c r="G14" s="37">
        <f t="shared" si="0"/>
        <v>0</v>
      </c>
      <c r="H14" s="28">
        <v>45627</v>
      </c>
      <c r="I14" s="29"/>
      <c r="J14" s="29"/>
      <c r="K14" s="15" t="s">
        <v>123</v>
      </c>
    </row>
    <row r="15" spans="1:11" ht="18" customHeight="1" x14ac:dyDescent="0.3">
      <c r="A15" s="24">
        <v>12</v>
      </c>
      <c r="B15" s="25" t="s">
        <v>102</v>
      </c>
      <c r="C15" s="31" t="s">
        <v>103</v>
      </c>
      <c r="D15" s="25" t="s">
        <v>104</v>
      </c>
      <c r="E15" s="25" t="s">
        <v>105</v>
      </c>
      <c r="F15" s="27">
        <v>45496</v>
      </c>
      <c r="G15" s="37">
        <f t="shared" si="0"/>
        <v>0</v>
      </c>
      <c r="H15" s="28">
        <v>45627</v>
      </c>
      <c r="I15" s="29"/>
      <c r="J15" s="29"/>
      <c r="K15" s="15" t="s">
        <v>123</v>
      </c>
    </row>
    <row r="16" spans="1:11" ht="18" customHeight="1" x14ac:dyDescent="0.3">
      <c r="A16" s="24">
        <v>13</v>
      </c>
      <c r="B16" s="32" t="s">
        <v>106</v>
      </c>
      <c r="C16" s="31" t="s">
        <v>107</v>
      </c>
      <c r="D16" s="25" t="s">
        <v>108</v>
      </c>
      <c r="E16" s="25" t="s">
        <v>109</v>
      </c>
      <c r="F16" s="27">
        <v>45516</v>
      </c>
      <c r="G16" s="37">
        <f t="shared" si="0"/>
        <v>0</v>
      </c>
      <c r="H16" s="28">
        <v>45677</v>
      </c>
      <c r="I16" s="29"/>
      <c r="J16" s="29"/>
    </row>
    <row r="17" spans="1:10" ht="18" customHeight="1" x14ac:dyDescent="0.3">
      <c r="A17" s="24">
        <v>14</v>
      </c>
      <c r="B17" s="25" t="s">
        <v>110</v>
      </c>
      <c r="C17" s="31" t="s">
        <v>111</v>
      </c>
      <c r="D17" s="25" t="s">
        <v>96</v>
      </c>
      <c r="E17" s="25" t="s">
        <v>90</v>
      </c>
      <c r="F17" s="27">
        <v>45496</v>
      </c>
      <c r="G17" s="37">
        <f t="shared" si="0"/>
        <v>0</v>
      </c>
      <c r="H17" s="28">
        <v>45627</v>
      </c>
      <c r="I17" s="29" t="s">
        <v>112</v>
      </c>
      <c r="J17" s="29"/>
    </row>
    <row r="18" spans="1:10" ht="18" customHeight="1" x14ac:dyDescent="0.3">
      <c r="A18" s="24">
        <v>15</v>
      </c>
      <c r="B18" s="25" t="s">
        <v>113</v>
      </c>
      <c r="C18" s="31" t="s">
        <v>114</v>
      </c>
      <c r="D18" s="25" t="s">
        <v>96</v>
      </c>
      <c r="E18" s="25" t="s">
        <v>115</v>
      </c>
      <c r="F18" s="27">
        <v>45397</v>
      </c>
      <c r="G18" s="37">
        <f t="shared" si="0"/>
        <v>0</v>
      </c>
      <c r="H18" s="28">
        <v>45627</v>
      </c>
      <c r="I18" s="29" t="s">
        <v>112</v>
      </c>
      <c r="J18" s="29"/>
    </row>
    <row r="19" spans="1:10" ht="18" customHeight="1" x14ac:dyDescent="0.3">
      <c r="A19" s="24">
        <v>16</v>
      </c>
      <c r="B19" s="25" t="s">
        <v>116</v>
      </c>
      <c r="C19" s="31" t="s">
        <v>117</v>
      </c>
      <c r="D19" s="25" t="s">
        <v>96</v>
      </c>
      <c r="E19" s="25" t="s">
        <v>118</v>
      </c>
      <c r="F19" s="27">
        <v>45544</v>
      </c>
      <c r="G19" s="37">
        <f t="shared" si="0"/>
        <v>0</v>
      </c>
      <c r="H19" s="28">
        <v>45627</v>
      </c>
      <c r="I19" s="29" t="s">
        <v>112</v>
      </c>
      <c r="J19" s="29"/>
    </row>
    <row r="20" spans="1:10" ht="18" customHeight="1" x14ac:dyDescent="0.3">
      <c r="A20" s="24">
        <v>17</v>
      </c>
      <c r="B20" s="25" t="s">
        <v>119</v>
      </c>
      <c r="C20" s="31" t="s">
        <v>120</v>
      </c>
      <c r="D20" s="25" t="s">
        <v>89</v>
      </c>
      <c r="E20" s="25" t="s">
        <v>101</v>
      </c>
      <c r="F20" s="27">
        <v>45030</v>
      </c>
      <c r="G20" s="37">
        <f t="shared" si="0"/>
        <v>1</v>
      </c>
      <c r="H20" s="28">
        <v>45627</v>
      </c>
      <c r="I20" s="29" t="s">
        <v>112</v>
      </c>
      <c r="J20" s="29"/>
    </row>
    <row r="21" spans="1:10" ht="18" customHeight="1" x14ac:dyDescent="0.3">
      <c r="A21" s="33"/>
      <c r="B21" s="34"/>
      <c r="C21" s="34"/>
      <c r="D21" s="34"/>
      <c r="E21" s="34"/>
      <c r="F21" s="35"/>
      <c r="G21" s="35"/>
      <c r="H21" s="34"/>
      <c r="I21" s="36"/>
      <c r="J21" s="36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Tiệc chia tay NV</vt:lpstr>
      <vt:lpstr>Tiệc chia tay TĐV</vt:lpstr>
      <vt:lpstr>Cơ chế</vt:lpstr>
      <vt:lpstr>DS nghi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2024-11-19T09:30:53Z</dcterms:created>
  <dcterms:modified xsi:type="dcterms:W3CDTF">2024-11-22T02:57:57Z</dcterms:modified>
</cp:coreProperties>
</file>